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490" windowHeight="4395" tabRatio="602" activeTab="0"/>
  </bookViews>
  <sheets>
    <sheet name="Parâmetros" sheetId="1" r:id="rId1"/>
    <sheet name="Projeções" sheetId="2" r:id="rId2"/>
    <sheet name="RCL" sheetId="3" r:id="rId3"/>
    <sheet name="Limites Pessoal" sheetId="4" r:id="rId4"/>
    <sheet name="Projeção Pessoal " sheetId="5" r:id="rId5"/>
    <sheet name="Educação" sheetId="6" r:id="rId6"/>
    <sheet name="Saúde" sheetId="7" r:id="rId7"/>
    <sheet name="Ass.Social" sheetId="8" r:id="rId8"/>
    <sheet name="RPPS" sheetId="9" r:id="rId9"/>
    <sheet name="Consolidação" sheetId="10" r:id="rId10"/>
  </sheets>
  <definedNames>
    <definedName name="_xlnm.Print_Area" localSheetId="0">'Parâmetros'!$A$7:$F$23</definedName>
    <definedName name="_xlnm.Print_Area" localSheetId="1">'Projeções'!$A$1:$AL$233</definedName>
    <definedName name="JR_PAGE_ANCHOR_0_1">'Projeção Pessoal '!$A$2</definedName>
    <definedName name="Z_16B3F100_CCE8_11D8_BD62_000C6E3CD3F1_.wvu.Cols" localSheetId="0" hidden="1">'Parâmetros'!$B:$B,'Parâmetros'!#REF!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<sst xmlns="http://schemas.openxmlformats.org/spreadsheetml/2006/main" count="529" uniqueCount="455">
  <si>
    <t>CONTAS</t>
  </si>
  <si>
    <t>FISCAIS</t>
  </si>
  <si>
    <t xml:space="preserve">RESULTADOS </t>
  </si>
  <si>
    <t>CONSOLIDADAS ANUAIS</t>
  </si>
  <si>
    <t>REALIZADO</t>
  </si>
  <si>
    <t>PROJETADO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</si>
  <si>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</si>
  <si>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</si>
  <si>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</si>
  <si>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</si>
  <si>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</si>
  <si>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</si>
  <si>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</si>
  <si>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</si>
  <si>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</si>
  <si>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</si>
  <si>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</si>
  <si>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</si>
  <si>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</si>
  <si>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</si>
  <si>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</si>
  <si>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</si>
  <si>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</si>
  <si>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</si>
  <si>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</si>
  <si>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</si>
  <si>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</si>
  <si>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>4.6.00.00.00.00.00</t>
  </si>
  <si>
    <t>Valores em R$ 1,00</t>
  </si>
  <si>
    <t>ESPECIFICAÇÃO</t>
  </si>
  <si>
    <t>INFLAÇÃO MÉDIA ANUAL   (I P C A)</t>
  </si>
  <si>
    <t xml:space="preserve">VARIAÇÃODO PIB </t>
  </si>
  <si>
    <t>CRESCIMENTO VEGETATIVO DA FOLHA SALARIAL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</si>
  <si>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</si>
  <si>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</si>
  <si>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</si>
  <si>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</si>
  <si>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</si>
  <si>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</si>
  <si>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</si>
  <si>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</si>
  <si>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</si>
  <si>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</si>
  <si>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</si>
  <si>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</si>
  <si>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</si>
  <si>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</si>
  <si>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</si>
  <si>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</si>
  <si>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</si>
  <si>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</si>
  <si>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</si>
  <si>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</si>
  <si>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</si>
  <si>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</si>
  <si>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</si>
  <si>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</si>
  <si>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</si>
  <si>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</si>
  <si>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</si>
  <si>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</si>
  <si>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1.3.2.0.00.0.0.00.00.00</t>
  </si>
  <si>
    <t>Valores Mobiliários</t>
  </si>
  <si>
    <t>1.3.2.1.00.1.1.01.00.00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</si>
  <si>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</si>
  <si>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</si>
  <si>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</si>
  <si>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</si>
  <si>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</si>
  <si>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</si>
  <si>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</si>
  <si>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</si>
  <si>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</si>
  <si>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</si>
  <si>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</si>
  <si>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</si>
  <si>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</si>
  <si>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</si>
  <si>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</si>
  <si>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</si>
  <si>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</si>
  <si>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</si>
  <si>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</si>
  <si>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</si>
  <si>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</si>
  <si>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</si>
  <si>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</si>
  <si>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</si>
  <si>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</si>
  <si>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</si>
  <si>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</si>
  <si>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</si>
  <si>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</si>
  <si>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</si>
  <si>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Transferência de Recursos do Sistema Único de Saúde – SUS – Repasses Fundo a Fundo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</si>
  <si>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</si>
  <si>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</si>
  <si>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</si>
  <si>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</si>
  <si>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</si>
  <si>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</si>
  <si>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</si>
  <si>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</si>
  <si>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</si>
  <si>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</si>
  <si>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</si>
  <si>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</si>
  <si>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</si>
  <si>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</si>
  <si>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</si>
  <si>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</si>
  <si>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</si>
  <si>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</si>
  <si>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</si>
  <si>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</si>
  <si>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</si>
  <si>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</si>
  <si>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Transferência de Recursos do Estado para Programas de Saúde – Repasse Fundo a Fundo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</si>
  <si>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</si>
  <si>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</si>
  <si>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</si>
  <si>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</si>
  <si>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</si>
  <si>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</si>
  <si>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</si>
  <si>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</si>
  <si>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</si>
  <si>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</si>
  <si>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</si>
  <si>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</si>
  <si>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</si>
  <si>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</si>
  <si>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</si>
  <si>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</si>
  <si>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</si>
  <si>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</si>
  <si>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</si>
  <si>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</si>
  <si>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</si>
  <si>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</si>
  <si>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</si>
  <si>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</si>
  <si>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</si>
  <si>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</si>
  <si>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</si>
  <si>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</si>
  <si>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</si>
  <si>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</si>
  <si>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</si>
  <si>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</si>
  <si>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</si>
  <si>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</si>
  <si>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</si>
  <si>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</si>
  <si>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</si>
  <si>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</si>
  <si>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</si>
  <si>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</si>
  <si>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</si>
  <si>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</si>
  <si>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</si>
  <si>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</si>
  <si>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</si>
  <si>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</si>
  <si>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</si>
  <si>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</si>
  <si>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</si>
  <si>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</si>
  <si>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</si>
  <si>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</si>
  <si>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</si>
  <si>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</si>
  <si>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</si>
  <si>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</si>
  <si>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</si>
  <si>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</si>
  <si>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Contribuição para o Regime Próprio de Previdência Social - RPPS (dos servidores)</t>
  </si>
  <si>
    <t>II - DEDUÇÕES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</si>
  <si>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</si>
  <si>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</si>
  <si>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</si>
  <si>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</si>
  <si>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</si>
  <si>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</si>
  <si>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</si>
  <si>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</si>
  <si>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</si>
  <si>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</si>
  <si>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</si>
  <si>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</si>
  <si>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Rendimentos de Aplicações de Rec.Previdenciários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</si>
  <si>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</si>
  <si>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</si>
  <si>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</si>
  <si>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</si>
  <si>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</si>
  <si>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</si>
  <si>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</si>
  <si>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</si>
  <si>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Indicador</t>
  </si>
  <si>
    <t>TOTAL DAS RECEITAS ARRECADADAS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</si>
  <si>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</si>
  <si>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</si>
  <si>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</si>
  <si>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</si>
  <si>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</si>
  <si>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</si>
  <si>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</si>
  <si>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</si>
  <si>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</si>
  <si>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</si>
  <si>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</si>
  <si>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</si>
  <si>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</si>
  <si>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</si>
  <si>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</si>
  <si>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</si>
  <si>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</si>
  <si>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</si>
  <si>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</si>
  <si>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</si>
  <si>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</si>
  <si>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Receitas Correntes Intraorçamentárias</t>
  </si>
  <si>
    <t/>
  </si>
  <si>
    <r>
      <t xml:space="preserve">Receitas Correntes Intraorçamentárias </t>
    </r>
    <r>
      <rPr>
        <b/>
        <sz val="10"/>
        <color indexed="10"/>
        <rFont val="Arial"/>
        <family val="2"/>
      </rPr>
      <t>-RPPS</t>
    </r>
  </si>
  <si>
    <r>
      <t xml:space="preserve">Receitas Correntes Intraorçamentárias </t>
    </r>
    <r>
      <rPr>
        <b/>
        <sz val="10"/>
        <color indexed="10"/>
        <rFont val="Arial"/>
        <family val="2"/>
      </rPr>
      <t>- Outras</t>
    </r>
  </si>
  <si>
    <r>
      <t xml:space="preserve">Receitas de Capital Intraorçamentárias </t>
    </r>
    <r>
      <rPr>
        <b/>
        <sz val="10"/>
        <color indexed="10"/>
        <rFont val="Arial"/>
        <family val="2"/>
      </rPr>
      <t>- RPPS</t>
    </r>
  </si>
  <si>
    <r>
      <t xml:space="preserve">Receitas de Capital Intraorçamentárias </t>
    </r>
    <r>
      <rPr>
        <b/>
        <sz val="10"/>
        <color indexed="10"/>
        <rFont val="Arial"/>
        <family val="2"/>
      </rPr>
      <t>- Outras</t>
    </r>
  </si>
  <si>
    <t>1.7.1.8.99.0.0.00.00.00</t>
  </si>
  <si>
    <t>Outras Transferências da União</t>
  </si>
  <si>
    <t>PLANO PLURIANUAL 2022 - 2025</t>
  </si>
  <si>
    <t>CRESCIMENTO VEGETATIVO DE OUTRAS DESP DE CUSTEIO</t>
  </si>
  <si>
    <t>PERCENTUAL DE AUMENTO SALARIAL - EXECUTVO (ACIMA DO IPCA)</t>
  </si>
  <si>
    <t>PERCENTUAL DE AUMENTO SALARIAL - LEGISLATIVO (ACIMA DO IPCA)</t>
  </si>
  <si>
    <t xml:space="preserve">Exploração do Patrimônio Imobiliário </t>
  </si>
  <si>
    <t>EXPECTATIVA DE CRESCIMENTO MÉDIO DA ARRECADAÇÃO TRIBUTÁRIA PRÓPRIA</t>
  </si>
  <si>
    <r>
      <t xml:space="preserve">Remuneração de Depósitos de </t>
    </r>
    <r>
      <rPr>
        <b/>
        <sz val="10"/>
        <rFont val="Arial"/>
        <family val="2"/>
      </rPr>
      <t>Outros</t>
    </r>
    <r>
      <rPr>
        <sz val="10"/>
        <rFont val="Arial"/>
        <family val="2"/>
      </rPr>
      <t xml:space="preserve"> Recursos Vinculados</t>
    </r>
  </si>
  <si>
    <t>EXPECTATIVA DE CRESCIMENTO DAS TRANSF.CONSTITUCIONAIS DA UNIÃO</t>
  </si>
  <si>
    <t>EXPECTATIVA DE CRESCIMENTO DAS TRANSF.CONSTITUCIONAIS DO ESTADO</t>
  </si>
  <si>
    <r>
      <t xml:space="preserve">Transferências de Convênios da União e de Suas Entidades - </t>
    </r>
    <r>
      <rPr>
        <b/>
        <sz val="10"/>
        <rFont val="Arial"/>
        <family val="2"/>
      </rPr>
      <t>ASS.SOCIAL</t>
    </r>
  </si>
  <si>
    <r>
      <t xml:space="preserve">Transferências de Convênios da União e de Suas Entidades - </t>
    </r>
    <r>
      <rPr>
        <b/>
        <sz val="10"/>
        <rFont val="Arial"/>
        <family val="2"/>
      </rPr>
      <t>EDUCAÇÃO</t>
    </r>
  </si>
  <si>
    <r>
      <t xml:space="preserve">Transferências de Convênios da União e de Suas Entidades - </t>
    </r>
    <r>
      <rPr>
        <b/>
        <sz val="10"/>
        <rFont val="Arial"/>
        <family val="2"/>
      </rPr>
      <t>OUTROS</t>
    </r>
  </si>
  <si>
    <r>
      <t xml:space="preserve">Transferências de Convênios da União e de Suas Entidades - </t>
    </r>
    <r>
      <rPr>
        <b/>
        <sz val="10"/>
        <rFont val="Arial"/>
        <family val="2"/>
      </rPr>
      <t>SAÚDE/SUS</t>
    </r>
  </si>
  <si>
    <t>1.7.1.8.10.1.0.00.00.00</t>
  </si>
  <si>
    <t>1.7.1.8.10.2.0.00.00.00</t>
  </si>
  <si>
    <t>1.7.1.8.10.3.0.00.00.00</t>
  </si>
  <si>
    <t>1.7.1.8.03.0.0.00.00.00 + 1.7.1.8.04.0.0.00.00.00</t>
  </si>
  <si>
    <t>1.7.1.8.12.0.0.00.00.00</t>
  </si>
  <si>
    <t>1.7.2.8.03.1.0.00.00.00</t>
  </si>
  <si>
    <t>1.7.2.8.07.1.0.00.00.00</t>
  </si>
  <si>
    <t>Transferência de Estado para Assistência Social   (FEAS)</t>
  </si>
  <si>
    <r>
      <t xml:space="preserve">Transferência de Convênios dos Estados e do DF - </t>
    </r>
    <r>
      <rPr>
        <b/>
        <sz val="10"/>
        <rFont val="Arial"/>
        <family val="2"/>
      </rPr>
      <t>SAÚDE/SUS</t>
    </r>
  </si>
  <si>
    <t>1.7.2.8.10.2.00.00.00</t>
  </si>
  <si>
    <t>1.7.2.8.10.1.00.00.00</t>
  </si>
  <si>
    <r>
      <t xml:space="preserve">Transferência de Convênios dos Estados e do DF - </t>
    </r>
    <r>
      <rPr>
        <b/>
        <sz val="10"/>
        <rFont val="Arial"/>
        <family val="2"/>
      </rPr>
      <t>EDUCAÇÃO</t>
    </r>
  </si>
  <si>
    <r>
      <t xml:space="preserve">Outras Transf.de Convênios dos Estados e do DF - </t>
    </r>
    <r>
      <rPr>
        <b/>
        <sz val="10"/>
        <rFont val="Arial"/>
        <family val="2"/>
      </rPr>
      <t>ASS.SOCIAL</t>
    </r>
  </si>
  <si>
    <t>1.7.2.8.10.9.YY.00.00</t>
  </si>
  <si>
    <t>1.7.2.8.10.9.XX.00.00</t>
  </si>
  <si>
    <r>
      <t xml:space="preserve">Outras Transf.de Convênios dos Estados e do DF - </t>
    </r>
    <r>
      <rPr>
        <b/>
        <sz val="10"/>
        <rFont val="Arial"/>
        <family val="2"/>
      </rPr>
      <t>OUTROS</t>
    </r>
  </si>
  <si>
    <t>Apuração Conforme a Instrução Normativa nº 17/2020, do TCE/RS</t>
  </si>
  <si>
    <t>2.4.1.8.04.0.0.00.00.00</t>
  </si>
  <si>
    <t>2.4.1.8.05.0.0.00.00.00</t>
  </si>
  <si>
    <t>TransF. De Recdursos Destinados a Programas de Educação</t>
  </si>
  <si>
    <t>2.4.1.8.10.1.0.00.00.00</t>
  </si>
  <si>
    <t>Transf. De Convênios da União para SUS (Saúde)</t>
  </si>
  <si>
    <t>2.4.1.8.10.2.0.00.00.00</t>
  </si>
  <si>
    <t>Transf.de Convênio da União p/ Programas de Educação</t>
  </si>
  <si>
    <t>2.4.1.8.10.X.X.00.00.00</t>
  </si>
  <si>
    <t>Demais Transf. De Convênios da União</t>
  </si>
  <si>
    <t>2.4.1.8.12.1.0.00.00.00</t>
  </si>
  <si>
    <t>Transf.de Recursos do FNAS - Ass. Social</t>
  </si>
  <si>
    <r>
      <t xml:space="preserve">Outras Receitas Diretamente Arrecadadas pelo </t>
    </r>
    <r>
      <rPr>
        <b/>
        <sz val="10"/>
        <color indexed="10"/>
        <rFont val="Arial"/>
        <family val="2"/>
      </rPr>
      <t>RPPS</t>
    </r>
    <r>
      <rPr>
        <sz val="10"/>
        <rFont val="Arial"/>
        <family val="2"/>
      </rPr>
      <t xml:space="preserve"> - Principal</t>
    </r>
  </si>
  <si>
    <r>
      <t xml:space="preserve">Transf.do SUS  - Fundo a Fundo  -  </t>
    </r>
    <r>
      <rPr>
        <b/>
        <sz val="10"/>
        <color indexed="10"/>
        <rFont val="Arial"/>
        <family val="2"/>
      </rPr>
      <t>Bloco de Estruturação</t>
    </r>
  </si>
  <si>
    <t>2.4.2.8.03.1.0.00.00.00</t>
  </si>
  <si>
    <t>2.4.2.8.05.0.0.00.00.00</t>
  </si>
  <si>
    <r>
      <t xml:space="preserve">Transf.de Recursos do SUS - </t>
    </r>
    <r>
      <rPr>
        <b/>
        <sz val="10"/>
        <color indexed="10"/>
        <rFont val="Arial"/>
        <family val="2"/>
      </rPr>
      <t>FES (estado)</t>
    </r>
  </si>
  <si>
    <r>
      <t>Transf.de Recursos p/ Programas de Educação (</t>
    </r>
    <r>
      <rPr>
        <b/>
        <sz val="10"/>
        <color indexed="10"/>
        <rFont val="Arial"/>
        <family val="2"/>
      </rPr>
      <t>Estado</t>
    </r>
    <r>
      <rPr>
        <sz val="10"/>
        <rFont val="Arial"/>
        <family val="2"/>
      </rPr>
      <t>)</t>
    </r>
  </si>
  <si>
    <t>2.4.2.8.10.1.0.00.00.00</t>
  </si>
  <si>
    <r>
      <t xml:space="preserve">Transf.de Convênios do </t>
    </r>
    <r>
      <rPr>
        <b/>
        <sz val="10"/>
        <color indexed="10"/>
        <rFont val="Arial"/>
        <family val="2"/>
      </rPr>
      <t>Estados</t>
    </r>
    <r>
      <rPr>
        <sz val="10"/>
        <rFont val="Arial"/>
        <family val="2"/>
      </rPr>
      <t xml:space="preserve"> para o </t>
    </r>
    <r>
      <rPr>
        <b/>
        <sz val="10"/>
        <color indexed="10"/>
        <rFont val="Arial"/>
        <family val="2"/>
      </rPr>
      <t>SUS</t>
    </r>
  </si>
  <si>
    <t>2.4.2.8.10.2.0.00.00.00</t>
  </si>
  <si>
    <r>
      <t xml:space="preserve">Transf.de Convênios do </t>
    </r>
    <r>
      <rPr>
        <b/>
        <sz val="10"/>
        <color indexed="10"/>
        <rFont val="Arial"/>
        <family val="2"/>
      </rPr>
      <t>Estado</t>
    </r>
    <r>
      <rPr>
        <sz val="10"/>
        <rFont val="Arial"/>
        <family val="2"/>
      </rPr>
      <t xml:space="preserve"> p/ Programas de </t>
    </r>
    <r>
      <rPr>
        <b/>
        <sz val="10"/>
        <color indexed="10"/>
        <rFont val="Arial"/>
        <family val="2"/>
      </rPr>
      <t>Educação</t>
    </r>
  </si>
  <si>
    <t>2.4.2.8.10.9.0.00.00.00</t>
  </si>
  <si>
    <t>Outras Transf.de Convênio do  Estado</t>
  </si>
  <si>
    <r>
      <t>Memória de Cálculo das Estimativas de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Despesas Fixas / Obrigatórias</t>
    </r>
  </si>
  <si>
    <t>3.1.00.00.00.00.00</t>
  </si>
  <si>
    <t>Pessoal e Encargos Sociais</t>
  </si>
  <si>
    <t>Pessoal e Encargos Sociais -  Poder Legislativo</t>
  </si>
  <si>
    <t>Pessoal e Encargos Sociais - Assist. Social</t>
  </si>
  <si>
    <t>Pessoal e Encargos Sociais - Do RPPS</t>
  </si>
  <si>
    <t>Pessoal e Encargos Sociais - Demais Áreas</t>
  </si>
  <si>
    <t>3.2.00.00.00.00.00</t>
  </si>
  <si>
    <t>Juros e Encargos da Dívida</t>
  </si>
  <si>
    <t>Juros e Encargos da Dívida - Poder Legislativo</t>
  </si>
  <si>
    <t>Juros e Encargos da Dívida - Saúde</t>
  </si>
  <si>
    <t>Juros e Encargos da Dívida - Educação</t>
  </si>
  <si>
    <t>Juros e Encargos da Dívida - Assist. Social</t>
  </si>
  <si>
    <t>Juros e Encargos da Dívida - Do RPPS</t>
  </si>
  <si>
    <t>Juros e Encargos da Dívida - Demais Áreas</t>
  </si>
  <si>
    <t>3.3.XX.47.00.00.00</t>
  </si>
  <si>
    <t>Obrigações Tributárias e Contributivas</t>
  </si>
  <si>
    <t>3.3.XX.08.00.00.00</t>
  </si>
  <si>
    <t>Outros Benef.Assistênciais - Poder Legislativo</t>
  </si>
  <si>
    <t>Outros Benef.Assistênciais - Saúde</t>
  </si>
  <si>
    <t>Outros Benef.Assistênciais - Educação</t>
  </si>
  <si>
    <t>Outros Benef.Assistênciais - Do RPPS</t>
  </si>
  <si>
    <t>Outros Benef.Assistênciais - Assist. Social</t>
  </si>
  <si>
    <t>Outros Benef.Assistênciais - Demais Áreas</t>
  </si>
  <si>
    <t>3.3.XX.46.00.00.00</t>
  </si>
  <si>
    <t>Auxílio - Alimentação</t>
  </si>
  <si>
    <t>Auxílio - Alimentação - Poder Legislativo</t>
  </si>
  <si>
    <t>Auxílio - Alimentação - Saúde</t>
  </si>
  <si>
    <t>Auxílio - Alimentação - Educação</t>
  </si>
  <si>
    <t>Auxílio - Alimentação - Assist. Social</t>
  </si>
  <si>
    <t>Auxílio - Alimentação - Do Rpps</t>
  </si>
  <si>
    <t>Auxílio - Alimentação - Demais Áreas</t>
  </si>
  <si>
    <t>Pessoal e Encargos Sociais - Saúde</t>
  </si>
  <si>
    <t>Pessoal e Encargos Sociais - Educação</t>
  </si>
  <si>
    <t>Obrigações Tributárias e Contributivas - Poder Legislativo</t>
  </si>
  <si>
    <t>Obrigações Tributárias e Contributivas - Saúde</t>
  </si>
  <si>
    <t>Obrigações Tributárias e Contributivas - Educação</t>
  </si>
  <si>
    <t>Obrigações Tributárias e Contributivas - do RPPS</t>
  </si>
  <si>
    <t>Obrigações Tributárias e Contributivas -Demais Áreas</t>
  </si>
  <si>
    <t>3.3.XX.91.00.00.00</t>
  </si>
  <si>
    <t>Sentenças Judiciais  (Exceto Precatórios de Pessoal)</t>
  </si>
  <si>
    <t>Sentenças Judiciais - Poder Legislativo</t>
  </si>
  <si>
    <t>Sentenças Judiciais - Saúde</t>
  </si>
  <si>
    <t>Sentenças Judiciais - Educação</t>
  </si>
  <si>
    <t>Obrigações Tributárias e Contributivas - Assist. Social</t>
  </si>
  <si>
    <t>Sentenças Judiciais - Assist. Social</t>
  </si>
  <si>
    <t>Sentenças Judiciais - Do RPPS</t>
  </si>
  <si>
    <t>Sentenças Judiciais - Demais Áreas</t>
  </si>
  <si>
    <t>3.3.XX.93.00.00.00</t>
  </si>
  <si>
    <t>Indenizações e Restituições</t>
  </si>
  <si>
    <t>Indenizações e Restituições - Poder Legislativo</t>
  </si>
  <si>
    <t>Indenizações e Restituições - Saúde</t>
  </si>
  <si>
    <t>Indenizações e Restituições - Educação</t>
  </si>
  <si>
    <t>Indenizações e Restituições - Assist. Social</t>
  </si>
  <si>
    <t>Indenizações e Restituições - Do RPPS</t>
  </si>
  <si>
    <t>Indenizações e Restituições - Demais Áreas</t>
  </si>
  <si>
    <t>4.4.XX.93.00.00.00</t>
  </si>
  <si>
    <t>Amortização da Dívida</t>
  </si>
  <si>
    <t>Amortização da Dívida - Poder Legislativo</t>
  </si>
  <si>
    <t>Amortização da Dívida - Saúde</t>
  </si>
  <si>
    <t>Amortização da Dívida - Educação</t>
  </si>
  <si>
    <t>Amortização da Dívida - Assist. Social</t>
  </si>
  <si>
    <t>Amortização da Dívida - Do RPPS</t>
  </si>
  <si>
    <t>Amortização da Dívida - Demais Áreas</t>
  </si>
  <si>
    <t>TOTAL DAS DESPESAS  FIXAS /  OBRIGATÓRIAS</t>
  </si>
  <si>
    <t>Outros Benefícios Assistênciais do Servidor e do Militar</t>
  </si>
  <si>
    <t>PLANO PLURIANUAL  2022 - 2025</t>
  </si>
  <si>
    <t>Subtotal - Gastos   Fixos /  Obrigatórios</t>
  </si>
  <si>
    <t>DISCRIMINAÇÃO</t>
  </si>
  <si>
    <t>RECEITA</t>
  </si>
  <si>
    <t>Transf. De Convenios Federais e Estaduais - Rec. Correntes</t>
  </si>
  <si>
    <t>Transf. De Convenios Federais e Estaduais - Rec. De Capital</t>
  </si>
  <si>
    <t>Demais Transferências de Capital para Programas de Educação</t>
  </si>
  <si>
    <t>Transferências de Recursos do FNDE</t>
  </si>
  <si>
    <t>Total de Recursos Estimados para Aplicação em Educação</t>
  </si>
  <si>
    <t>Estimativas de Gastos Fixos /  Obrigatórios</t>
  </si>
  <si>
    <t xml:space="preserve"> Valor passível de alocação para demais diretrizes, objetivos e metas da Educação</t>
  </si>
  <si>
    <t>IMPOSTOS PRÓPRIOS</t>
  </si>
  <si>
    <t xml:space="preserve">TRANSFERÊNCIAS CONSTITUCIONAIS DA UNIÃO </t>
  </si>
  <si>
    <t xml:space="preserve">TRANSFERÊNCIAS CONSTITUCIONAIS DO ESTADO </t>
  </si>
  <si>
    <t xml:space="preserve">TRANSFERÊNCIAS DE RECURSOS DO FUNDEB </t>
  </si>
  <si>
    <t xml:space="preserve">   GANHO / PERDA COM O FUNDEB  </t>
  </si>
  <si>
    <t>Informação Complementar</t>
  </si>
  <si>
    <t>Recursos Próprios Aportados para o Fundo Municipal de Assistência Social</t>
  </si>
  <si>
    <t>TOTAL DAS RECEITAS P/FINS DO ART. 198 DA CONSTITUIÇÃO</t>
  </si>
  <si>
    <t>TOTAL DAS RECEITAS P/FINS DO ART. 212 DA CONSTITUIÇÃO</t>
  </si>
  <si>
    <t>VALOR MÍNIMO A APLICAR  PARA FINS DO ART. 198 DA CONSTITUIÇÃO (15 %)</t>
  </si>
  <si>
    <t>VALOR MÍNIMO A APLICAR  PARA FINS DO ART. 212  DA CONSTITUIÇÃO (25%)</t>
  </si>
  <si>
    <t>Transferências de Recursos do SUS - Fundo Nacional de Saúde</t>
  </si>
  <si>
    <t>Total de Recursos Estimados para Aplicação em Saúde</t>
  </si>
  <si>
    <t>Demais Transferências de Capital para Programas de Saúde</t>
  </si>
  <si>
    <t>Transferências de Recursos do SUS - Fundo Estadual de Saúde</t>
  </si>
  <si>
    <t xml:space="preserve"> Valor passível de alocação para demais diretrizes, objetivos e metas da Saúde</t>
  </si>
  <si>
    <r>
      <t xml:space="preserve">Remuneração de Depósitos de Recursos </t>
    </r>
    <r>
      <rPr>
        <b/>
        <sz val="10"/>
        <color indexed="10"/>
        <rFont val="Arial"/>
        <family val="2"/>
      </rPr>
      <t>Vinculados da Saúde  (ASPS +  Fonte Federal e Estadual)</t>
    </r>
  </si>
  <si>
    <r>
      <t xml:space="preserve">Remuneração de Depósitos de Recursos Vinculados da Educação </t>
    </r>
    <r>
      <rPr>
        <b/>
        <sz val="10"/>
        <color indexed="10"/>
        <rFont val="Arial"/>
        <family val="2"/>
      </rPr>
      <t>(MDE, Fundeb e Demais Vinculações da Educação)</t>
    </r>
    <r>
      <rPr>
        <sz val="10"/>
        <rFont val="Arial"/>
        <family val="2"/>
      </rPr>
      <t xml:space="preserve"> </t>
    </r>
  </si>
  <si>
    <t>Rendimentos de Aplicações Financeiras  (MDE, Fundeb e demais vinculações)</t>
  </si>
  <si>
    <t>DEDUÇÕES DA RECEITA PARA FORMAÇÃO DO FUNDEB</t>
  </si>
  <si>
    <r>
      <t xml:space="preserve">Remuneração de Depósitos de Recursos </t>
    </r>
    <r>
      <rPr>
        <b/>
        <sz val="10"/>
        <color indexed="10"/>
        <rFont val="Arial"/>
        <family val="2"/>
      </rPr>
      <t>Vinculados da Assistência Social ( Rec. Próprios +  Fonte Federal e Estadual)</t>
    </r>
  </si>
  <si>
    <t>Rendimentos de Aplicações Financeiras  (Recursos ASPS + Fonte Federal e Estadual)</t>
  </si>
  <si>
    <t>Rendimentos de Aplicações Financeiras  (Recursos Próprios +  Fonte Federal e Estadual)</t>
  </si>
  <si>
    <t>Transferências de Recursos do SUAS - Fundo Nacional de Ass.Social</t>
  </si>
  <si>
    <t>Transferências de Recursos do SUAS - Fundo Estadual de Ass.Social</t>
  </si>
  <si>
    <t>Transferências de Capital para Programas de Ass.Social</t>
  </si>
  <si>
    <t>Total de Recursos Estimados para Aplicação em Assistência Social</t>
  </si>
  <si>
    <t xml:space="preserve"> Valor passível de alocação para demais diretrizes, objetivos e metas da Assist.  Social</t>
  </si>
  <si>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Recursos PRÓPRIO</t>
    </r>
    <r>
      <rPr>
        <sz val="10"/>
        <color indexed="10"/>
        <rFont val="Arial"/>
        <family val="2"/>
      </rPr>
      <t>S</t>
    </r>
    <r>
      <rPr>
        <sz val="10"/>
        <color indexed="8"/>
        <rFont val="Arial"/>
        <family val="2"/>
      </rPr>
      <t xml:space="preserve">  - Aportes para o Fundo Municipal de Assistência Social</t>
    </r>
  </si>
  <si>
    <t>Total de Recursos Estimados vinculados ao RPPS</t>
  </si>
  <si>
    <t>Contribuições dos Servidores para o RPPS</t>
  </si>
  <si>
    <t>Contribuições Patronais</t>
  </si>
  <si>
    <t>Rendimentos das Aplicações Financeiras</t>
  </si>
  <si>
    <t>Receita de Compensação Financeira</t>
  </si>
  <si>
    <t>Receitas de Capital Arrecadadas pelo RPPS</t>
  </si>
  <si>
    <t>Receitas totais estimadas</t>
  </si>
  <si>
    <t>(-)  Valores vinculados às Diretrizes, Objetivos e Metas da EDUCAÇÃO</t>
  </si>
  <si>
    <t>(-)  Valores vinculados às Diretrizes, Objetivos e Metas da SAÚDE</t>
  </si>
  <si>
    <t>(-)  Valores vinculados às Diretrizes, Objetivos e Metas da ASSISTÊNCIA SOCIAL</t>
  </si>
  <si>
    <t>(-)  Valores vinculados às Diretrizes, Objetivos e Metas do RPPS</t>
  </si>
  <si>
    <t>(-)  Valores vinculados às Diretrizes, Objetivos e Metas do Poder Legislativo</t>
  </si>
  <si>
    <t>RECURSOS DISPONÍVEIS PARA AS DEMAIS ÁREAS</t>
  </si>
  <si>
    <t>Estimativas de Gastos Fixos /  Obrigatórios - Demais Áreas</t>
  </si>
  <si>
    <t xml:space="preserve"> Valor passível de alocação para demais diretrizes, objetivos e metas. </t>
  </si>
  <si>
    <r>
      <rPr>
        <b/>
        <sz val="12"/>
        <color indexed="10"/>
        <rFont val="Arial"/>
        <family val="2"/>
      </rPr>
      <t xml:space="preserve">Tabela 01 </t>
    </r>
    <r>
      <rPr>
        <b/>
        <sz val="12"/>
        <rFont val="Arial"/>
        <family val="2"/>
      </rPr>
      <t>- Memória de Cálculo das Estimativas das Principais Receitas</t>
    </r>
  </si>
  <si>
    <t>Parâmentos Utilizados nas Estimativas das Receitas e Despesas</t>
  </si>
  <si>
    <r>
      <rPr>
        <b/>
        <sz val="10"/>
        <color indexed="10"/>
        <rFont val="Arial"/>
        <family val="2"/>
      </rPr>
      <t>Tabela 02 -</t>
    </r>
    <r>
      <rPr>
        <b/>
        <sz val="10"/>
        <color indexed="8"/>
        <rFont val="Arial"/>
        <family val="2"/>
      </rPr>
      <t xml:space="preserve"> Estimativas para a Receita Corrente Líquida</t>
    </r>
  </si>
  <si>
    <r>
      <rPr>
        <b/>
        <sz val="11"/>
        <color indexed="10"/>
        <rFont val="Arial"/>
        <family val="2"/>
      </rPr>
      <t>Tabela 05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vinculados à Educação</t>
    </r>
  </si>
  <si>
    <r>
      <rPr>
        <b/>
        <sz val="11"/>
        <color indexed="10"/>
        <rFont val="Arial"/>
        <family val="2"/>
      </rPr>
      <t>Tabela 08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do RPPS</t>
    </r>
  </si>
  <si>
    <r>
      <rPr>
        <b/>
        <sz val="11"/>
        <color indexed="10"/>
        <rFont val="Arial"/>
        <family val="2"/>
      </rPr>
      <t>Tabela 07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vinculados à Assistência Social</t>
    </r>
  </si>
  <si>
    <r>
      <rPr>
        <b/>
        <sz val="11"/>
        <color indexed="10"/>
        <rFont val="Arial"/>
        <family val="2"/>
      </rPr>
      <t>Tabela 06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vinculados à Saúde</t>
    </r>
  </si>
  <si>
    <r>
      <rPr>
        <b/>
        <sz val="11"/>
        <color indexed="10"/>
        <rFont val="Arial"/>
        <family val="2"/>
      </rPr>
      <t xml:space="preserve">Tabela 09 - Avaliação Global de </t>
    </r>
    <r>
      <rPr>
        <b/>
        <sz val="11"/>
        <color indexed="8"/>
        <rFont val="Arial"/>
        <family val="2"/>
      </rPr>
      <t>Valores Disponíveis para as Diretrizes, Objetivos e Metas  do PPA</t>
    </r>
  </si>
  <si>
    <r>
      <rPr>
        <b/>
        <sz val="11"/>
        <color indexed="10"/>
        <rFont val="Arial"/>
        <family val="2"/>
      </rPr>
      <t>Tabela 03 -</t>
    </r>
    <r>
      <rPr>
        <b/>
        <sz val="11"/>
        <color indexed="8"/>
        <rFont val="Arial"/>
        <family val="2"/>
      </rPr>
      <t xml:space="preserve"> Estimativa de Limites de Gastos com Pessoal do Poder Executivo e Legislativo para o período de 2022 a 2025</t>
    </r>
  </si>
  <si>
    <t xml:space="preserve"> Valor passível de alocação para demais diretrizes, objetivos e metas do RPPS ou para a Reserva de Contingência.</t>
  </si>
  <si>
    <t>LIQUIDADA</t>
  </si>
  <si>
    <t>LIQUIDADA (EST)</t>
  </si>
  <si>
    <t>PROJETADA</t>
  </si>
  <si>
    <t>Município de :  IVOTI</t>
  </si>
  <si>
    <t>DESPESAS COM PESSOAL ATIVO E INATIVO</t>
  </si>
  <si>
    <t>I - PESSOAL E ENCARGOS SOCIAIS</t>
  </si>
  <si>
    <t>RECEITA CORRENTE LIQUIDA - RCL</t>
  </si>
  <si>
    <t>Limite de Alerta = 48,60% s/RCL - LRF, Inciso II do § 1º do art, 59</t>
  </si>
  <si>
    <t>Limite Prudencial = 51,30% s/RCL - LRF, Parágrafo Unico do art, 22</t>
  </si>
  <si>
    <t xml:space="preserve">APOSENTADORIAS </t>
  </si>
  <si>
    <t>PERCENTUAL ESTIMADO</t>
  </si>
  <si>
    <t>VIII - TOTAL DA DESPESA COM PESSOAL ATIVO/INATIVO (III-IV)</t>
  </si>
  <si>
    <t>REESTIMADA</t>
  </si>
  <si>
    <t>*2021 Reestimativa Receita FPM e FUNDEB pela diferença expressiva entre o previsto e o realizado parcialmente até maio 2021</t>
  </si>
  <si>
    <t>Cota-Parte do Fundo de Participação dos Municípios - Cota Mensal*</t>
  </si>
  <si>
    <t>Transferências de Recursos do FUNDEB - Principal*</t>
  </si>
  <si>
    <t xml:space="preserve">GESTÃO FISCAL - EXECUTIVO MUNICIPAL
TCE - MODELO 2 - DESPESA PESSOAL EXECUTIVO
LC FEDERAL N.101/2000, ARTS. 54 e ALINEA 'a' DO INCISO I DO ART. 55 
Município de Ivoti
</t>
  </si>
  <si>
    <t>Apuração Conforme a STN</t>
  </si>
  <si>
    <t xml:space="preserve">IVOTI - EXECUTIVO
RELATÓRIO DE GESTÃO FISCAL
DEMONSTRATIVO DA DESPESA COM PESSOAL
ORÇAMENTO FISCAL E DA SEGURIDADE SOCIAL
</t>
  </si>
  <si>
    <t>RGF - ANEXO 1 (LRF, Art. 55, Inciso I, Alinea 'a')</t>
  </si>
  <si>
    <t>DESPESAS NÃO COMPUTADAS (§ 1º do art. 19 da LRF) (II)</t>
  </si>
  <si>
    <t>DESPESA BRUTA COM PESSOAL (I)</t>
  </si>
  <si>
    <t xml:space="preserve">    APOSENTADORIAS </t>
  </si>
  <si>
    <t xml:space="preserve">    DECISÃO JUDICIAL</t>
  </si>
  <si>
    <t>DESPESA LÍQUIDA COM PESSOAL (III)=(I-II)</t>
  </si>
  <si>
    <t>Limite de Alerta = 48,60% s/RCL - LRF, Inciso II do § 1º do art 59</t>
  </si>
  <si>
    <t>Limite Prudencial = 51,30% s/RCL -LRF, Parágrafo Unico  art 22</t>
  </si>
  <si>
    <t>1.69.0.00.0.0.00.00</t>
  </si>
  <si>
    <t>Receita Serviços Autarquia</t>
  </si>
  <si>
    <t>(-)  Valores vinculados às Diretrizes, Objetivos e Metas da Autarquia</t>
  </si>
  <si>
    <t>Receita Rendimentos Autarquia</t>
  </si>
  <si>
    <t>Outras Indenizações, Restituições e Ressarcimentos Autarquia</t>
  </si>
  <si>
    <r>
      <t xml:space="preserve">Receitas Correntes Intraorçamentárias </t>
    </r>
    <r>
      <rPr>
        <b/>
        <sz val="10"/>
        <color indexed="49"/>
        <rFont val="Arial"/>
        <family val="2"/>
      </rPr>
      <t>- Autarquia</t>
    </r>
  </si>
  <si>
    <t>*Previsão Gastos Energia Elétrica</t>
  </si>
  <si>
    <t>Recuros para planejamento</t>
  </si>
  <si>
    <t>**Reserva de Contingencia</t>
  </si>
  <si>
    <t>Rendimentos de Aplicações de Rec.Previdenciários (30ª Reunião da CTCONF)</t>
  </si>
  <si>
    <t>DECISÃO JUDICIAL</t>
  </si>
  <si>
    <r>
      <rPr>
        <b/>
        <sz val="11"/>
        <color indexed="10"/>
        <rFont val="Arial"/>
        <family val="2"/>
      </rPr>
      <t xml:space="preserve">Tabela 04 </t>
    </r>
    <r>
      <rPr>
        <b/>
        <sz val="11"/>
        <color indexed="8"/>
        <rFont val="Arial"/>
        <family val="2"/>
      </rPr>
      <t>–Projeção da Despesa com Pessoal do Poder Executivo para o período de 2022 a 2025</t>
    </r>
  </si>
  <si>
    <t>Metodologia de cálculo conforme Tribunal de Contas RS</t>
  </si>
  <si>
    <t>Metodologia de cálculo conforme STN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</si>
</sst>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0&quot;.&quot;0&quot;.&quot;0&quot;.&quot;0&quot;.&quot;0&quot;.&quot;00&quot;.&quot;00"/>
    <numFmt numFmtId="214" formatCode="&quot;Ativado&quot;;&quot;Ativado&quot;;&quot;Desativado&quot;"/>
    <numFmt numFmtId="215" formatCode="#,##0_ ;\-#,##0\ "/>
    <numFmt numFmtId="216" formatCode="0.0%"/>
    <numFmt numFmtId="217" formatCode="0_ ;\-0\ "/>
    <numFmt numFmtId="218" formatCode="0.0000%"/>
  </numFmts>
  <fonts count="7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4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ansSerif"/>
      <family val="2"/>
    </font>
    <font>
      <b/>
      <sz val="8"/>
      <color indexed="8"/>
      <name val="SansSerif"/>
      <family val="0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0000"/>
      <name val="SansSerif"/>
      <family val="2"/>
    </font>
    <font>
      <b/>
      <sz val="8"/>
      <color rgb="FF000000"/>
      <name val="SansSerif"/>
      <family val="0"/>
    </font>
    <font>
      <sz val="10"/>
      <color theme="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7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3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38" fontId="14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right"/>
      <protection locked="0"/>
    </xf>
    <xf numFmtId="0" fontId="9" fillId="33" borderId="0" xfId="0" applyNumberFormat="1" applyFont="1" applyFill="1" applyBorder="1" applyAlignment="1" applyProtection="1">
      <alignment horizontal="left" vertical="center"/>
      <protection locked="0"/>
    </xf>
    <xf numFmtId="38" fontId="14" fillId="0" borderId="0" xfId="0" applyNumberFormat="1" applyFont="1" applyAlignment="1" applyProtection="1">
      <alignment/>
      <protection locked="0"/>
    </xf>
    <xf numFmtId="190" fontId="9" fillId="34" borderId="10" xfId="0" applyNumberFormat="1" applyFont="1" applyFill="1" applyBorder="1" applyAlignment="1" applyProtection="1">
      <alignment horizontal="center"/>
      <protection locked="0"/>
    </xf>
    <xf numFmtId="190" fontId="9" fillId="34" borderId="11" xfId="0" applyNumberFormat="1" applyFont="1" applyFill="1" applyBorder="1" applyAlignment="1" applyProtection="1">
      <alignment horizontal="center"/>
      <protection locked="0"/>
    </xf>
    <xf numFmtId="38" fontId="9" fillId="0" borderId="10" xfId="0" applyNumberFormat="1" applyFont="1" applyBorder="1" applyAlignment="1" applyProtection="1">
      <alignment/>
      <protection locked="0"/>
    </xf>
    <xf numFmtId="38" fontId="9" fillId="0" borderId="11" xfId="0" applyNumberFormat="1" applyFont="1" applyBorder="1" applyAlignment="1" applyProtection="1">
      <alignment/>
      <protection locked="0"/>
    </xf>
    <xf numFmtId="38" fontId="9" fillId="33" borderId="11" xfId="0" applyNumberFormat="1" applyFont="1" applyFill="1" applyBorder="1" applyAlignment="1" applyProtection="1">
      <alignment/>
      <protection locked="0"/>
    </xf>
    <xf numFmtId="38" fontId="9" fillId="0" borderId="12" xfId="0" applyNumberFormat="1" applyFont="1" applyBorder="1" applyAlignment="1" applyProtection="1">
      <alignment/>
      <protection locked="0"/>
    </xf>
    <xf numFmtId="38" fontId="9" fillId="33" borderId="13" xfId="0" applyNumberFormat="1" applyFont="1" applyFill="1" applyBorder="1" applyAlignment="1" applyProtection="1">
      <alignment/>
      <protection locked="0"/>
    </xf>
    <xf numFmtId="38" fontId="9" fillId="0" borderId="14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77" fontId="0" fillId="0" borderId="15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34" borderId="0" xfId="0" applyFont="1" applyFill="1" applyAlignment="1">
      <alignment/>
    </xf>
    <xf numFmtId="0" fontId="24" fillId="0" borderId="0" xfId="0" applyFont="1" applyAlignment="1" applyProtection="1">
      <alignment/>
      <protection locked="0"/>
    </xf>
    <xf numFmtId="0" fontId="22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4" fontId="9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43" fontId="0" fillId="33" borderId="15" xfId="0" applyNumberFormat="1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37" borderId="15" xfId="0" applyFont="1" applyFill="1" applyBorder="1" applyAlignment="1" applyProtection="1">
      <alignment/>
      <protection locked="0"/>
    </xf>
    <xf numFmtId="0" fontId="5" fillId="37" borderId="15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10" fontId="0" fillId="39" borderId="15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Alignment="1">
      <alignment/>
    </xf>
    <xf numFmtId="0" fontId="31" fillId="34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177" fontId="2" fillId="39" borderId="15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8" fontId="27" fillId="7" borderId="0" xfId="64" applyNumberFormat="1" applyFont="1" applyFill="1" applyAlignment="1" applyProtection="1">
      <alignment vertical="center"/>
      <protection/>
    </xf>
    <xf numFmtId="0" fontId="26" fillId="7" borderId="15" xfId="0" applyFont="1" applyFill="1" applyBorder="1" applyAlignment="1" applyProtection="1">
      <alignment horizontal="left" vertical="center"/>
      <protection/>
    </xf>
    <xf numFmtId="43" fontId="27" fillId="7" borderId="16" xfId="47" applyNumberFormat="1" applyFont="1" applyFill="1" applyBorder="1" applyAlignment="1" applyProtection="1">
      <alignment vertical="center"/>
      <protection locked="0"/>
    </xf>
    <xf numFmtId="43" fontId="26" fillId="7" borderId="16" xfId="47" applyNumberFormat="1" applyFont="1" applyFill="1" applyBorder="1" applyAlignment="1" applyProtection="1">
      <alignment vertical="center"/>
      <protection locked="0"/>
    </xf>
    <xf numFmtId="43" fontId="26" fillId="7" borderId="17" xfId="47" applyNumberFormat="1" applyFont="1" applyFill="1" applyBorder="1" applyAlignment="1" applyProtection="1">
      <alignment vertical="center"/>
      <protection locked="0"/>
    </xf>
    <xf numFmtId="217" fontId="26" fillId="7" borderId="15" xfId="64" applyNumberFormat="1" applyFont="1" applyFill="1" applyBorder="1" applyAlignment="1" applyProtection="1">
      <alignment horizontal="center" vertical="center"/>
      <protection/>
    </xf>
    <xf numFmtId="0" fontId="26" fillId="7" borderId="18" xfId="0" applyFont="1" applyFill="1" applyBorder="1" applyAlignment="1" applyProtection="1">
      <alignment horizontal="left" vertical="center"/>
      <protection/>
    </xf>
    <xf numFmtId="189" fontId="27" fillId="7" borderId="16" xfId="47" applyFont="1" applyFill="1" applyBorder="1" applyAlignment="1" applyProtection="1">
      <alignment horizontal="left" vertical="center" indent="1"/>
      <protection/>
    </xf>
    <xf numFmtId="189" fontId="26" fillId="7" borderId="16" xfId="47" applyFont="1" applyFill="1" applyBorder="1" applyAlignment="1" applyProtection="1">
      <alignment horizontal="left" vertical="center" indent="1"/>
      <protection/>
    </xf>
    <xf numFmtId="189" fontId="73" fillId="7" borderId="17" xfId="47" applyFont="1" applyFill="1" applyBorder="1" applyAlignment="1" applyProtection="1">
      <alignment horizontal="left" vertical="center" indent="1"/>
      <protection/>
    </xf>
    <xf numFmtId="208" fontId="27" fillId="0" borderId="0" xfId="64" applyNumberFormat="1" applyFont="1" applyFill="1" applyBorder="1" applyAlignment="1" applyProtection="1">
      <alignment horizontal="left" vertical="center" wrapText="1" indent="1"/>
      <protection/>
    </xf>
    <xf numFmtId="208" fontId="0" fillId="0" borderId="0" xfId="64" applyNumberFormat="1" applyFont="1" applyAlignment="1">
      <alignment vertical="center"/>
    </xf>
    <xf numFmtId="0" fontId="26" fillId="7" borderId="16" xfId="0" applyFont="1" applyFill="1" applyBorder="1" applyAlignment="1" applyProtection="1">
      <alignment horizontal="left" vertical="center"/>
      <protection/>
    </xf>
    <xf numFmtId="217" fontId="26" fillId="7" borderId="18" xfId="64" applyNumberFormat="1" applyFont="1" applyFill="1" applyBorder="1" applyAlignment="1" applyProtection="1">
      <alignment horizontal="center" vertical="center"/>
      <protection/>
    </xf>
    <xf numFmtId="43" fontId="27" fillId="7" borderId="18" xfId="64" applyNumberFormat="1" applyFont="1" applyFill="1" applyBorder="1" applyAlignment="1" applyProtection="1">
      <alignment horizontal="center" vertical="center"/>
      <protection/>
    </xf>
    <xf numFmtId="0" fontId="26" fillId="7" borderId="0" xfId="0" applyFont="1" applyFill="1" applyAlignment="1" applyProtection="1">
      <alignment vertical="center"/>
      <protection/>
    </xf>
    <xf numFmtId="208" fontId="27" fillId="7" borderId="0" xfId="64" applyNumberFormat="1" applyFont="1" applyFill="1" applyAlignment="1" applyProtection="1">
      <alignment horizontal="right" vertical="center"/>
      <protection/>
    </xf>
    <xf numFmtId="0" fontId="26" fillId="7" borderId="19" xfId="0" applyFont="1" applyFill="1" applyBorder="1" applyAlignment="1" applyProtection="1">
      <alignment horizontal="center" vertical="center"/>
      <protection/>
    </xf>
    <xf numFmtId="0" fontId="26" fillId="7" borderId="0" xfId="0" applyFont="1" applyFill="1" applyBorder="1" applyAlignment="1" applyProtection="1">
      <alignment horizontal="left" vertical="center" wrapText="1" indent="2"/>
      <protection/>
    </xf>
    <xf numFmtId="43" fontId="27" fillId="7" borderId="0" xfId="64" applyNumberFormat="1" applyFont="1" applyFill="1" applyBorder="1" applyAlignment="1" applyProtection="1">
      <alignment horizontal="left" vertical="center" wrapText="1" indent="1"/>
      <protection/>
    </xf>
    <xf numFmtId="43" fontId="26" fillId="7" borderId="0" xfId="64" applyNumberFormat="1" applyFont="1" applyFill="1" applyBorder="1" applyAlignment="1" applyProtection="1">
      <alignment horizontal="left" vertical="center" wrapText="1" indent="1"/>
      <protection/>
    </xf>
    <xf numFmtId="43" fontId="26" fillId="7" borderId="16" xfId="64" applyNumberFormat="1" applyFont="1" applyFill="1" applyBorder="1" applyAlignment="1" applyProtection="1">
      <alignment horizontal="left" vertical="center" wrapText="1" indent="1"/>
      <protection/>
    </xf>
    <xf numFmtId="43" fontId="26" fillId="7" borderId="20" xfId="64" applyNumberFormat="1" applyFont="1" applyFill="1" applyBorder="1" applyAlignment="1" applyProtection="1">
      <alignment horizontal="left" vertical="center" wrapText="1" indent="1"/>
      <protection/>
    </xf>
    <xf numFmtId="0" fontId="26" fillId="7" borderId="15" xfId="64" applyNumberFormat="1" applyFont="1" applyFill="1" applyBorder="1" applyAlignment="1" applyProtection="1">
      <alignment horizontal="center" vertical="center" wrapText="1"/>
      <protection/>
    </xf>
    <xf numFmtId="43" fontId="26" fillId="7" borderId="15" xfId="64" applyNumberFormat="1" applyFont="1" applyFill="1" applyBorder="1" applyAlignment="1" applyProtection="1">
      <alignment horizontal="left" vertical="center" wrapText="1" indent="1"/>
      <protection/>
    </xf>
    <xf numFmtId="43" fontId="27" fillId="7" borderId="20" xfId="64" applyNumberFormat="1" applyFont="1" applyFill="1" applyBorder="1" applyAlignment="1" applyProtection="1">
      <alignment vertical="center" wrapText="1"/>
      <protection/>
    </xf>
    <xf numFmtId="43" fontId="27" fillId="7" borderId="16" xfId="64" applyNumberFormat="1" applyFont="1" applyFill="1" applyBorder="1" applyAlignment="1" applyProtection="1">
      <alignment vertical="center" wrapText="1"/>
      <protection/>
    </xf>
    <xf numFmtId="43" fontId="27" fillId="7" borderId="20" xfId="64" applyNumberFormat="1" applyFont="1" applyFill="1" applyBorder="1" applyAlignment="1" applyProtection="1">
      <alignment horizontal="left" vertical="center" wrapText="1" indent="1"/>
      <protection/>
    </xf>
    <xf numFmtId="43" fontId="27" fillId="7" borderId="16" xfId="64" applyNumberFormat="1" applyFont="1" applyFill="1" applyBorder="1" applyAlignment="1" applyProtection="1">
      <alignment horizontal="left" vertical="center" wrapText="1" indent="1"/>
      <protection/>
    </xf>
    <xf numFmtId="0" fontId="27" fillId="7" borderId="0" xfId="0" applyFont="1" applyFill="1" applyBorder="1" applyAlignment="1" applyProtection="1">
      <alignment horizontal="left" vertical="center" wrapText="1" indent="2"/>
      <protection/>
    </xf>
    <xf numFmtId="208" fontId="27" fillId="7" borderId="18" xfId="64" applyNumberFormat="1" applyFont="1" applyFill="1" applyBorder="1" applyAlignment="1" applyProtection="1">
      <alignment horizontal="left" vertical="center" wrapText="1" indent="1"/>
      <protection/>
    </xf>
    <xf numFmtId="208" fontId="27" fillId="7" borderId="21" xfId="64" applyNumberFormat="1" applyFont="1" applyFill="1" applyBorder="1" applyAlignment="1" applyProtection="1">
      <alignment horizontal="left" vertical="center" wrapText="1" indent="1"/>
      <protection/>
    </xf>
    <xf numFmtId="0" fontId="73" fillId="7" borderId="15" xfId="0" applyFont="1" applyFill="1" applyBorder="1" applyAlignment="1" applyProtection="1">
      <alignment horizontal="left" vertical="center" wrapText="1" indent="2"/>
      <protection/>
    </xf>
    <xf numFmtId="43" fontId="73" fillId="7" borderId="15" xfId="64" applyNumberFormat="1" applyFont="1" applyFill="1" applyBorder="1" applyAlignment="1" applyProtection="1">
      <alignment horizontal="left" vertical="center" wrapText="1" indent="1"/>
      <protection/>
    </xf>
    <xf numFmtId="43" fontId="27" fillId="7" borderId="0" xfId="64" applyNumberFormat="1" applyFont="1" applyFill="1" applyBorder="1" applyAlignment="1" applyProtection="1">
      <alignment vertical="center" wrapText="1"/>
      <protection/>
    </xf>
    <xf numFmtId="0" fontId="26" fillId="7" borderId="22" xfId="64" applyNumberFormat="1" applyFont="1" applyFill="1" applyBorder="1" applyAlignment="1" applyProtection="1">
      <alignment horizontal="center" vertical="center" wrapText="1"/>
      <protection/>
    </xf>
    <xf numFmtId="0" fontId="26" fillId="7" borderId="18" xfId="0" applyFont="1" applyFill="1" applyBorder="1" applyAlignment="1" applyProtection="1">
      <alignment horizontal="left" vertical="center" wrapText="1"/>
      <protection/>
    </xf>
    <xf numFmtId="0" fontId="27" fillId="7" borderId="16" xfId="0" applyFont="1" applyFill="1" applyBorder="1" applyAlignment="1" applyProtection="1">
      <alignment horizontal="left" vertical="center" wrapText="1" indent="1"/>
      <protection/>
    </xf>
    <xf numFmtId="0" fontId="26" fillId="7" borderId="17" xfId="0" applyFont="1" applyFill="1" applyBorder="1" applyAlignment="1" applyProtection="1">
      <alignment horizontal="left" vertical="center" indent="1"/>
      <protection/>
    </xf>
    <xf numFmtId="0" fontId="26" fillId="7" borderId="18" xfId="0" applyFont="1" applyFill="1" applyBorder="1" applyAlignment="1" applyProtection="1">
      <alignment horizontal="left" vertical="center" indent="1"/>
      <protection/>
    </xf>
    <xf numFmtId="0" fontId="26" fillId="7" borderId="17" xfId="0" applyFont="1" applyFill="1" applyBorder="1" applyAlignment="1" applyProtection="1">
      <alignment horizontal="left" vertical="center" wrapText="1" indent="2"/>
      <protection/>
    </xf>
    <xf numFmtId="0" fontId="26" fillId="7" borderId="16" xfId="0" applyFont="1" applyFill="1" applyBorder="1" applyAlignment="1" applyProtection="1">
      <alignment horizontal="left" vertical="center" indent="1"/>
      <protection/>
    </xf>
    <xf numFmtId="43" fontId="26" fillId="7" borderId="18" xfId="64" applyNumberFormat="1" applyFont="1" applyFill="1" applyBorder="1" applyAlignment="1" applyProtection="1">
      <alignment horizontal="left" vertical="center" wrapText="1" indent="1"/>
      <protection/>
    </xf>
    <xf numFmtId="43" fontId="27" fillId="7" borderId="17" xfId="64" applyNumberFormat="1" applyFont="1" applyFill="1" applyBorder="1" applyAlignment="1" applyProtection="1">
      <alignment horizontal="left" vertical="center" wrapText="1" indent="1"/>
      <protection/>
    </xf>
    <xf numFmtId="0" fontId="5" fillId="7" borderId="15" xfId="0" applyFont="1" applyFill="1" applyBorder="1" applyAlignment="1" applyProtection="1">
      <alignment horizontal="left" vertical="center" wrapText="1" indent="2"/>
      <protection/>
    </xf>
    <xf numFmtId="43" fontId="5" fillId="7" borderId="15" xfId="64" applyNumberFormat="1" applyFont="1" applyFill="1" applyBorder="1" applyAlignment="1" applyProtection="1">
      <alignment horizontal="left" vertical="center" wrapText="1" indent="1"/>
      <protection/>
    </xf>
    <xf numFmtId="0" fontId="0" fillId="7" borderId="0" xfId="0" applyFill="1" applyAlignment="1">
      <alignment horizontal="center" vertical="center"/>
    </xf>
    <xf numFmtId="43" fontId="27" fillId="7" borderId="18" xfId="64" applyNumberFormat="1" applyFont="1" applyFill="1" applyBorder="1" applyAlignment="1" applyProtection="1">
      <alignment horizontal="left" vertical="center" wrapText="1" indent="1"/>
      <protection/>
    </xf>
    <xf numFmtId="0" fontId="5" fillId="7" borderId="23" xfId="0" applyNumberFormat="1" applyFont="1" applyFill="1" applyBorder="1" applyAlignment="1" applyProtection="1">
      <alignment horizontal="center" vertical="center"/>
      <protection locked="0"/>
    </xf>
    <xf numFmtId="190" fontId="5" fillId="7" borderId="24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 applyProtection="1">
      <alignment horizontal="center" vertical="center"/>
      <protection locked="0"/>
    </xf>
    <xf numFmtId="189" fontId="5" fillId="7" borderId="25" xfId="47" applyFont="1" applyFill="1" applyBorder="1" applyAlignment="1">
      <alignment horizontal="center" vertical="center"/>
    </xf>
    <xf numFmtId="0" fontId="5" fillId="7" borderId="17" xfId="51" applyFont="1" applyFill="1" applyBorder="1" applyAlignment="1">
      <alignment vertical="center"/>
      <protection/>
    </xf>
    <xf numFmtId="0" fontId="5" fillId="7" borderId="17" xfId="51" applyNumberFormat="1" applyFont="1" applyFill="1" applyBorder="1" applyAlignment="1">
      <alignment vertical="center" wrapText="1"/>
      <protection/>
    </xf>
    <xf numFmtId="0" fontId="5" fillId="7" borderId="15" xfId="51" applyFont="1" applyFill="1" applyBorder="1" applyAlignment="1">
      <alignment vertical="center"/>
      <protection/>
    </xf>
    <xf numFmtId="0" fontId="5" fillId="7" borderId="15" xfId="51" applyNumberFormat="1" applyFont="1" applyFill="1" applyBorder="1" applyAlignment="1">
      <alignment vertical="center" wrapText="1"/>
      <protection/>
    </xf>
    <xf numFmtId="0" fontId="0" fillId="7" borderId="15" xfId="51" applyFont="1" applyFill="1" applyBorder="1" applyAlignment="1">
      <alignment vertical="center"/>
      <protection/>
    </xf>
    <xf numFmtId="0" fontId="0" fillId="7" borderId="15" xfId="51" applyNumberFormat="1" applyFont="1" applyFill="1" applyBorder="1" applyAlignment="1">
      <alignment vertical="center" wrapText="1"/>
      <protection/>
    </xf>
    <xf numFmtId="0" fontId="0" fillId="7" borderId="15" xfId="51" applyFont="1" applyFill="1" applyBorder="1" applyAlignment="1">
      <alignment vertical="center" wrapText="1"/>
      <protection/>
    </xf>
    <xf numFmtId="206" fontId="0" fillId="7" borderId="15" xfId="51" applyNumberFormat="1" applyFont="1" applyFill="1" applyBorder="1" applyAlignment="1">
      <alignment vertical="center" wrapText="1"/>
      <protection/>
    </xf>
    <xf numFmtId="0" fontId="5" fillId="7" borderId="22" xfId="51" applyFont="1" applyFill="1" applyBorder="1" applyAlignment="1">
      <alignment vertical="center"/>
      <protection/>
    </xf>
    <xf numFmtId="0" fontId="0" fillId="7" borderId="22" xfId="51" applyFont="1" applyFill="1" applyBorder="1" applyAlignment="1">
      <alignment vertical="center"/>
      <protection/>
    </xf>
    <xf numFmtId="0" fontId="5" fillId="7" borderId="26" xfId="0" applyFont="1" applyFill="1" applyBorder="1" applyAlignment="1">
      <alignment/>
    </xf>
    <xf numFmtId="0" fontId="5" fillId="7" borderId="27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0" xfId="0" applyFont="1" applyFill="1" applyBorder="1" applyAlignment="1">
      <alignment wrapText="1"/>
    </xf>
    <xf numFmtId="190" fontId="29" fillId="7" borderId="28" xfId="0" applyNumberFormat="1" applyFont="1" applyFill="1" applyBorder="1" applyAlignment="1" applyProtection="1">
      <alignment horizontal="center"/>
      <protection locked="0"/>
    </xf>
    <xf numFmtId="190" fontId="29" fillId="7" borderId="29" xfId="0" applyNumberFormat="1" applyFont="1" applyFill="1" applyBorder="1" applyAlignment="1" applyProtection="1">
      <alignment horizontal="center"/>
      <protection locked="0"/>
    </xf>
    <xf numFmtId="190" fontId="29" fillId="7" borderId="30" xfId="0" applyNumberFormat="1" applyFont="1" applyFill="1" applyBorder="1" applyAlignment="1" applyProtection="1">
      <alignment horizontal="center"/>
      <protection locked="0"/>
    </xf>
    <xf numFmtId="190" fontId="29" fillId="7" borderId="31" xfId="0" applyNumberFormat="1" applyFont="1" applyFill="1" applyBorder="1" applyAlignment="1" applyProtection="1">
      <alignment horizontal="center"/>
      <protection locked="0"/>
    </xf>
    <xf numFmtId="190" fontId="5" fillId="7" borderId="10" xfId="0" applyNumberFormat="1" applyFont="1" applyFill="1" applyBorder="1" applyAlignment="1">
      <alignment horizontal="center" vertical="center"/>
    </xf>
    <xf numFmtId="190" fontId="5" fillId="7" borderId="11" xfId="0" applyNumberFormat="1" applyFont="1" applyFill="1" applyBorder="1" applyAlignment="1">
      <alignment horizontal="center" vertical="center"/>
    </xf>
    <xf numFmtId="43" fontId="29" fillId="7" borderId="10" xfId="0" applyNumberFormat="1" applyFont="1" applyFill="1" applyBorder="1" applyAlignment="1" applyProtection="1">
      <alignment horizontal="right"/>
      <protection locked="0"/>
    </xf>
    <xf numFmtId="43" fontId="5" fillId="7" borderId="15" xfId="0" applyNumberFormat="1" applyFont="1" applyFill="1" applyBorder="1" applyAlignment="1">
      <alignment/>
    </xf>
    <xf numFmtId="43" fontId="0" fillId="7" borderId="15" xfId="0" applyNumberFormat="1" applyFont="1" applyFill="1" applyBorder="1" applyAlignment="1">
      <alignment/>
    </xf>
    <xf numFmtId="177" fontId="5" fillId="7" borderId="15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" fontId="5" fillId="7" borderId="0" xfId="0" applyNumberFormat="1" applyFont="1" applyFill="1" applyBorder="1" applyAlignment="1">
      <alignment horizontal="center"/>
    </xf>
    <xf numFmtId="177" fontId="5" fillId="39" borderId="0" xfId="0" applyNumberFormat="1" applyFont="1" applyFill="1" applyBorder="1" applyAlignment="1">
      <alignment/>
    </xf>
    <xf numFmtId="0" fontId="9" fillId="7" borderId="23" xfId="0" applyNumberFormat="1" applyFont="1" applyFill="1" applyBorder="1" applyAlignment="1" applyProtection="1">
      <alignment horizontal="center" vertical="center"/>
      <protection locked="0"/>
    </xf>
    <xf numFmtId="190" fontId="1" fillId="7" borderId="24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 applyProtection="1">
      <alignment horizontal="center" vertical="center"/>
      <protection locked="0"/>
    </xf>
    <xf numFmtId="189" fontId="1" fillId="7" borderId="25" xfId="47" applyFont="1" applyFill="1" applyBorder="1" applyAlignment="1">
      <alignment horizontal="center" vertical="center"/>
    </xf>
    <xf numFmtId="0" fontId="1" fillId="7" borderId="20" xfId="0" applyFont="1" applyFill="1" applyBorder="1" applyAlignment="1">
      <alignment/>
    </xf>
    <xf numFmtId="0" fontId="1" fillId="7" borderId="32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0" fontId="8" fillId="7" borderId="27" xfId="0" applyFont="1" applyFill="1" applyBorder="1" applyAlignment="1">
      <alignment/>
    </xf>
    <xf numFmtId="177" fontId="1" fillId="7" borderId="15" xfId="0" applyNumberFormat="1" applyFont="1" applyFill="1" applyBorder="1" applyAlignment="1">
      <alignment/>
    </xf>
    <xf numFmtId="177" fontId="8" fillId="7" borderId="15" xfId="0" applyNumberFormat="1" applyFont="1" applyFill="1" applyBorder="1" applyAlignment="1">
      <alignment/>
    </xf>
    <xf numFmtId="0" fontId="26" fillId="40" borderId="19" xfId="0" applyFont="1" applyFill="1" applyBorder="1" applyAlignment="1" applyProtection="1">
      <alignment horizontal="center" vertical="center"/>
      <protection/>
    </xf>
    <xf numFmtId="0" fontId="26" fillId="40" borderId="15" xfId="0" applyFont="1" applyFill="1" applyBorder="1" applyAlignment="1" applyProtection="1">
      <alignment horizontal="center" vertical="center"/>
      <protection/>
    </xf>
    <xf numFmtId="49" fontId="26" fillId="40" borderId="19" xfId="0" applyNumberFormat="1" applyFont="1" applyFill="1" applyBorder="1" applyAlignment="1" applyProtection="1">
      <alignment vertical="center"/>
      <protection/>
    </xf>
    <xf numFmtId="43" fontId="26" fillId="40" borderId="15" xfId="0" applyNumberFormat="1" applyFont="1" applyFill="1" applyBorder="1" applyAlignment="1" applyProtection="1">
      <alignment vertical="center"/>
      <protection/>
    </xf>
    <xf numFmtId="49" fontId="26" fillId="40" borderId="19" xfId="0" applyNumberFormat="1" applyFont="1" applyFill="1" applyBorder="1" applyAlignment="1" applyProtection="1">
      <alignment horizontal="left" vertical="center"/>
      <protection/>
    </xf>
    <xf numFmtId="43" fontId="26" fillId="40" borderId="15" xfId="0" applyNumberFormat="1" applyFont="1" applyFill="1" applyBorder="1" applyAlignment="1" applyProtection="1">
      <alignment horizontal="left" vertical="center"/>
      <protection/>
    </xf>
    <xf numFmtId="0" fontId="27" fillId="40" borderId="0" xfId="0" applyFont="1" applyFill="1" applyAlignment="1" applyProtection="1">
      <alignment horizontal="left" vertical="center" indent="1"/>
      <protection/>
    </xf>
    <xf numFmtId="43" fontId="27" fillId="40" borderId="15" xfId="0" applyNumberFormat="1" applyFont="1" applyFill="1" applyBorder="1" applyAlignment="1" applyProtection="1">
      <alignment horizontal="left" vertical="center" indent="1"/>
      <protection/>
    </xf>
    <xf numFmtId="49" fontId="27" fillId="40" borderId="0" xfId="0" applyNumberFormat="1" applyFont="1" applyFill="1" applyBorder="1" applyAlignment="1" applyProtection="1">
      <alignment horizontal="left" vertical="center" indent="1"/>
      <protection/>
    </xf>
    <xf numFmtId="0" fontId="26" fillId="7" borderId="0" xfId="0" applyNumberFormat="1" applyFont="1" applyFill="1" applyAlignment="1" applyProtection="1">
      <alignment horizontal="center" vertical="center" wrapText="1"/>
      <protection/>
    </xf>
    <xf numFmtId="0" fontId="28" fillId="7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1" fontId="26" fillId="7" borderId="15" xfId="64" applyNumberFormat="1" applyFont="1" applyFill="1" applyBorder="1" applyAlignment="1" applyProtection="1">
      <alignment horizontal="center" vertical="center" wrapText="1"/>
      <protection/>
    </xf>
    <xf numFmtId="0" fontId="27" fillId="7" borderId="15" xfId="64" applyNumberFormat="1" applyFont="1" applyFill="1" applyBorder="1" applyAlignment="1" applyProtection="1">
      <alignment horizontal="left" vertical="center"/>
      <protection/>
    </xf>
    <xf numFmtId="43" fontId="27" fillId="7" borderId="15" xfId="64" applyNumberFormat="1" applyFont="1" applyFill="1" applyBorder="1" applyAlignment="1" applyProtection="1">
      <alignment horizontal="left" vertical="center" indent="2"/>
      <protection/>
    </xf>
    <xf numFmtId="49" fontId="0" fillId="7" borderId="0" xfId="0" applyNumberFormat="1" applyFont="1" applyFill="1" applyAlignment="1" applyProtection="1">
      <alignment vertical="center"/>
      <protection/>
    </xf>
    <xf numFmtId="208" fontId="0" fillId="7" borderId="0" xfId="64" applyNumberFormat="1" applyFont="1" applyFill="1" applyAlignment="1" applyProtection="1">
      <alignment vertical="center"/>
      <protection/>
    </xf>
    <xf numFmtId="0" fontId="27" fillId="7" borderId="18" xfId="64" applyNumberFormat="1" applyFont="1" applyFill="1" applyBorder="1" applyAlignment="1" applyProtection="1">
      <alignment horizontal="left" vertical="center"/>
      <protection/>
    </xf>
    <xf numFmtId="0" fontId="27" fillId="7" borderId="16" xfId="64" applyNumberFormat="1" applyFont="1" applyFill="1" applyBorder="1" applyAlignment="1" applyProtection="1">
      <alignment horizontal="left" vertical="center"/>
      <protection/>
    </xf>
    <xf numFmtId="0" fontId="27" fillId="7" borderId="17" xfId="64" applyNumberFormat="1" applyFont="1" applyFill="1" applyBorder="1" applyAlignment="1" applyProtection="1">
      <alignment horizontal="left" vertical="center"/>
      <protection/>
    </xf>
    <xf numFmtId="189" fontId="73" fillId="7" borderId="17" xfId="47" applyFont="1" applyFill="1" applyBorder="1" applyAlignment="1" applyProtection="1">
      <alignment horizontal="left" vertical="center" wrapText="1" indent="1"/>
      <protection/>
    </xf>
    <xf numFmtId="190" fontId="9" fillId="7" borderId="28" xfId="0" applyNumberFormat="1" applyFont="1" applyFill="1" applyBorder="1" applyAlignment="1" applyProtection="1">
      <alignment horizontal="center" wrapText="1"/>
      <protection locked="0"/>
    </xf>
    <xf numFmtId="190" fontId="9" fillId="7" borderId="29" xfId="0" applyNumberFormat="1" applyFont="1" applyFill="1" applyBorder="1" applyAlignment="1" applyProtection="1">
      <alignment horizontal="center" wrapText="1"/>
      <protection locked="0"/>
    </xf>
    <xf numFmtId="190" fontId="9" fillId="7" borderId="30" xfId="0" applyNumberFormat="1" applyFont="1" applyFill="1" applyBorder="1" applyAlignment="1" applyProtection="1">
      <alignment horizontal="center" wrapText="1"/>
      <protection locked="0"/>
    </xf>
    <xf numFmtId="190" fontId="9" fillId="7" borderId="31" xfId="0" applyNumberFormat="1" applyFont="1" applyFill="1" applyBorder="1" applyAlignment="1" applyProtection="1">
      <alignment horizontal="center" wrapText="1"/>
      <protection locked="0"/>
    </xf>
    <xf numFmtId="190" fontId="1" fillId="7" borderId="10" xfId="0" applyNumberFormat="1" applyFont="1" applyFill="1" applyBorder="1" applyAlignment="1">
      <alignment horizontal="center" vertical="center" wrapText="1"/>
    </xf>
    <xf numFmtId="190" fontId="1" fillId="7" borderId="11" xfId="0" applyNumberFormat="1" applyFont="1" applyFill="1" applyBorder="1" applyAlignment="1">
      <alignment horizontal="center" vertical="center" wrapText="1"/>
    </xf>
    <xf numFmtId="43" fontId="0" fillId="0" borderId="15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43" fontId="74" fillId="0" borderId="15" xfId="0" applyNumberFormat="1" applyFont="1" applyFill="1" applyBorder="1" applyAlignment="1">
      <alignment/>
    </xf>
    <xf numFmtId="43" fontId="2" fillId="39" borderId="15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56" fillId="41" borderId="0" xfId="50" applyFill="1" applyAlignment="1" applyProtection="1">
      <alignment wrapText="1"/>
      <protection locked="0"/>
    </xf>
    <xf numFmtId="0" fontId="56" fillId="0" borderId="0" xfId="50">
      <alignment/>
      <protection/>
    </xf>
    <xf numFmtId="0" fontId="75" fillId="41" borderId="0" xfId="50" applyFont="1" applyFill="1" applyAlignment="1">
      <alignment horizontal="right" vertical="center" wrapText="1"/>
      <protection/>
    </xf>
    <xf numFmtId="43" fontId="75" fillId="41" borderId="0" xfId="50" applyNumberFormat="1" applyFont="1" applyFill="1" applyAlignment="1">
      <alignment horizontal="right" vertical="center" wrapText="1"/>
      <protection/>
    </xf>
    <xf numFmtId="10" fontId="76" fillId="41" borderId="0" xfId="53" applyNumberFormat="1" applyFont="1" applyFill="1" applyAlignment="1">
      <alignment horizontal="right" vertical="center" wrapText="1"/>
    </xf>
    <xf numFmtId="43" fontId="75" fillId="41" borderId="26" xfId="50" applyNumberFormat="1" applyFont="1" applyFill="1" applyBorder="1" applyAlignment="1">
      <alignment horizontal="right" vertical="center" wrapText="1"/>
      <protection/>
    </xf>
    <xf numFmtId="10" fontId="0" fillId="39" borderId="15" xfId="53" applyNumberFormat="1" applyFont="1" applyFill="1" applyBorder="1" applyAlignment="1" applyProtection="1">
      <alignment horizontal="center"/>
      <protection/>
    </xf>
    <xf numFmtId="0" fontId="34" fillId="0" borderId="0" xfId="0" applyFont="1" applyFill="1" applyAlignment="1">
      <alignment/>
    </xf>
    <xf numFmtId="0" fontId="56" fillId="41" borderId="23" xfId="50" applyFill="1" applyBorder="1" applyAlignment="1" applyProtection="1">
      <alignment wrapText="1"/>
      <protection locked="0"/>
    </xf>
    <xf numFmtId="0" fontId="75" fillId="41" borderId="0" xfId="50" applyFont="1" applyFill="1" applyAlignment="1">
      <alignment vertical="top" wrapText="1"/>
      <protection/>
    </xf>
    <xf numFmtId="0" fontId="56" fillId="41" borderId="26" xfId="50" applyFill="1" applyBorder="1" applyAlignment="1" applyProtection="1">
      <alignment wrapText="1"/>
      <protection locked="0"/>
    </xf>
    <xf numFmtId="43" fontId="75" fillId="41" borderId="19" xfId="50" applyNumberFormat="1" applyFont="1" applyFill="1" applyBorder="1" applyAlignment="1">
      <alignment horizontal="right" vertical="center" wrapText="1"/>
      <protection/>
    </xf>
    <xf numFmtId="0" fontId="56" fillId="41" borderId="21" xfId="50" applyFill="1" applyBorder="1" applyAlignment="1" applyProtection="1">
      <alignment wrapText="1"/>
      <protection locked="0"/>
    </xf>
    <xf numFmtId="0" fontId="56" fillId="41" borderId="33" xfId="50" applyFill="1" applyBorder="1" applyAlignment="1" applyProtection="1">
      <alignment wrapText="1"/>
      <protection locked="0"/>
    </xf>
    <xf numFmtId="0" fontId="56" fillId="41" borderId="20" xfId="50" applyFill="1" applyBorder="1" applyAlignment="1" applyProtection="1">
      <alignment wrapText="1"/>
      <protection locked="0"/>
    </xf>
    <xf numFmtId="0" fontId="56" fillId="41" borderId="0" xfId="50" applyFill="1" applyBorder="1" applyAlignment="1" applyProtection="1">
      <alignment wrapText="1"/>
      <protection locked="0"/>
    </xf>
    <xf numFmtId="0" fontId="75" fillId="41" borderId="0" xfId="50" applyFont="1" applyFill="1" applyBorder="1" applyAlignment="1">
      <alignment horizontal="right" vertical="top" wrapText="1"/>
      <protection/>
    </xf>
    <xf numFmtId="0" fontId="56" fillId="41" borderId="32" xfId="50" applyFill="1" applyBorder="1" applyAlignment="1" applyProtection="1">
      <alignment wrapText="1"/>
      <protection locked="0"/>
    </xf>
    <xf numFmtId="0" fontId="56" fillId="0" borderId="0" xfId="50" applyBorder="1">
      <alignment/>
      <protection/>
    </xf>
    <xf numFmtId="0" fontId="56" fillId="0" borderId="32" xfId="50" applyBorder="1">
      <alignment/>
      <protection/>
    </xf>
    <xf numFmtId="0" fontId="75" fillId="41" borderId="26" xfId="50" applyFont="1" applyFill="1" applyBorder="1" applyAlignment="1">
      <alignment horizontal="right" vertical="center" wrapText="1"/>
      <protection/>
    </xf>
    <xf numFmtId="0" fontId="75" fillId="41" borderId="27" xfId="50" applyFont="1" applyFill="1" applyBorder="1" applyAlignment="1">
      <alignment horizontal="right" vertical="center" wrapText="1"/>
      <protection/>
    </xf>
    <xf numFmtId="0" fontId="56" fillId="0" borderId="21" xfId="50" applyBorder="1">
      <alignment/>
      <protection/>
    </xf>
    <xf numFmtId="0" fontId="75" fillId="41" borderId="23" xfId="50" applyFont="1" applyFill="1" applyBorder="1" applyAlignment="1">
      <alignment vertical="top" wrapText="1"/>
      <protection/>
    </xf>
    <xf numFmtId="0" fontId="75" fillId="41" borderId="33" xfId="50" applyFont="1" applyFill="1" applyBorder="1" applyAlignment="1">
      <alignment vertical="top" wrapText="1"/>
      <protection/>
    </xf>
    <xf numFmtId="0" fontId="75" fillId="41" borderId="15" xfId="50" applyFont="1" applyFill="1" applyBorder="1" applyAlignment="1">
      <alignment vertical="center" wrapText="1"/>
      <protection/>
    </xf>
    <xf numFmtId="43" fontId="75" fillId="41" borderId="15" xfId="50" applyNumberFormat="1" applyFont="1" applyFill="1" applyBorder="1" applyAlignment="1">
      <alignment vertical="center" wrapText="1"/>
      <protection/>
    </xf>
    <xf numFmtId="43" fontId="75" fillId="41" borderId="18" xfId="50" applyNumberFormat="1" applyFont="1" applyFill="1" applyBorder="1" applyAlignment="1">
      <alignment vertical="center" wrapText="1"/>
      <protection/>
    </xf>
    <xf numFmtId="10" fontId="76" fillId="41" borderId="34" xfId="53" applyNumberFormat="1" applyFont="1" applyFill="1" applyBorder="1" applyAlignment="1">
      <alignment horizontal="right" vertical="center" wrapText="1"/>
    </xf>
    <xf numFmtId="43" fontId="75" fillId="41" borderId="17" xfId="50" applyNumberFormat="1" applyFont="1" applyFill="1" applyBorder="1" applyAlignment="1">
      <alignment horizontal="right" vertical="center" wrapText="1"/>
      <protection/>
    </xf>
    <xf numFmtId="10" fontId="76" fillId="41" borderId="35" xfId="53" applyNumberFormat="1" applyFont="1" applyFill="1" applyBorder="1" applyAlignment="1">
      <alignment horizontal="right" vertical="center" wrapText="1"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77" fillId="7" borderId="15" xfId="51" applyNumberFormat="1" applyFont="1" applyFill="1" applyBorder="1" applyAlignment="1">
      <alignment vertical="center" wrapText="1"/>
      <protection/>
    </xf>
    <xf numFmtId="49" fontId="36" fillId="40" borderId="0" xfId="0" applyNumberFormat="1" applyFont="1" applyFill="1" applyBorder="1" applyAlignment="1" applyProtection="1">
      <alignment horizontal="left" vertical="center" indent="1"/>
      <protection/>
    </xf>
    <xf numFmtId="0" fontId="5" fillId="39" borderId="0" xfId="0" applyFont="1" applyFill="1" applyAlignment="1">
      <alignment/>
    </xf>
    <xf numFmtId="0" fontId="5" fillId="7" borderId="0" xfId="0" applyFont="1" applyFill="1" applyAlignment="1">
      <alignment/>
    </xf>
    <xf numFmtId="0" fontId="56" fillId="7" borderId="0" xfId="50" applyFill="1" applyAlignment="1" applyProtection="1">
      <alignment wrapText="1"/>
      <protection locked="0"/>
    </xf>
    <xf numFmtId="0" fontId="28" fillId="7" borderId="0" xfId="0" applyFont="1" applyFill="1" applyAlignment="1">
      <alignment/>
    </xf>
    <xf numFmtId="38" fontId="15" fillId="0" borderId="0" xfId="0" applyNumberFormat="1" applyFont="1" applyBorder="1" applyAlignment="1">
      <alignment horizontal="center"/>
    </xf>
    <xf numFmtId="38" fontId="15" fillId="0" borderId="3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9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26" fillId="40" borderId="0" xfId="0" applyNumberFormat="1" applyFont="1" applyFill="1" applyAlignment="1" applyProtection="1">
      <alignment horizontal="center" vertical="center" wrapText="1"/>
      <protection/>
    </xf>
    <xf numFmtId="0" fontId="0" fillId="7" borderId="0" xfId="0" applyFill="1" applyAlignment="1">
      <alignment horizontal="center" vertical="center" wrapText="1"/>
    </xf>
    <xf numFmtId="38" fontId="26" fillId="7" borderId="0" xfId="0" applyNumberFormat="1" applyFont="1" applyFill="1" applyAlignment="1" applyProtection="1">
      <alignment horizontal="center" vertical="center" wrapText="1"/>
      <protection/>
    </xf>
    <xf numFmtId="0" fontId="26" fillId="40" borderId="0" xfId="0" applyFont="1" applyFill="1" applyAlignment="1" applyProtection="1">
      <alignment horizontal="center" vertical="center" wrapText="1"/>
      <protection/>
    </xf>
    <xf numFmtId="0" fontId="26" fillId="40" borderId="0" xfId="0" applyFont="1" applyFill="1" applyAlignment="1" applyProtection="1">
      <alignment horizontal="center" vertical="center" wrapText="1"/>
      <protection/>
    </xf>
    <xf numFmtId="0" fontId="26" fillId="40" borderId="26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>
      <alignment vertical="center"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19" xfId="0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>
      <alignment horizontal="center" vertical="center"/>
    </xf>
    <xf numFmtId="49" fontId="26" fillId="7" borderId="23" xfId="0" applyNumberFormat="1" applyFont="1" applyFill="1" applyBorder="1" applyAlignment="1" applyProtection="1">
      <alignment horizontal="center" vertical="center" wrapText="1"/>
      <protection/>
    </xf>
    <xf numFmtId="0" fontId="26" fillId="7" borderId="26" xfId="0" applyFont="1" applyFill="1" applyBorder="1" applyAlignment="1" applyProtection="1">
      <alignment horizontal="center" vertical="center" wrapText="1"/>
      <protection/>
    </xf>
    <xf numFmtId="38" fontId="26" fillId="7" borderId="0" xfId="0" applyNumberFormat="1" applyFont="1" applyFill="1" applyAlignment="1" applyProtection="1">
      <alignment horizontal="center" vertical="center"/>
      <protection/>
    </xf>
    <xf numFmtId="0" fontId="0" fillId="7" borderId="0" xfId="0" applyFill="1" applyAlignment="1">
      <alignment horizontal="center" vertical="center"/>
    </xf>
    <xf numFmtId="0" fontId="26" fillId="7" borderId="0" xfId="0" applyNumberFormat="1" applyFont="1" applyFill="1" applyAlignment="1" applyProtection="1">
      <alignment horizontal="center" vertical="center" wrapText="1"/>
      <protection/>
    </xf>
    <xf numFmtId="49" fontId="26" fillId="7" borderId="15" xfId="0" applyNumberFormat="1" applyFont="1" applyFill="1" applyBorder="1" applyAlignment="1" applyProtection="1">
      <alignment horizontal="center" vertical="center" wrapText="1"/>
      <protection/>
    </xf>
    <xf numFmtId="0" fontId="26" fillId="7" borderId="15" xfId="0" applyFont="1" applyFill="1" applyBorder="1" applyAlignment="1" applyProtection="1">
      <alignment horizontal="center" vertical="center" wrapText="1"/>
      <protection/>
    </xf>
    <xf numFmtId="0" fontId="26" fillId="7" borderId="42" xfId="64" applyNumberFormat="1" applyFont="1" applyFill="1" applyBorder="1" applyAlignment="1" applyProtection="1">
      <alignment horizontal="center" vertical="center"/>
      <protection/>
    </xf>
    <xf numFmtId="0" fontId="26" fillId="7" borderId="19" xfId="64" applyNumberFormat="1" applyFont="1" applyFill="1" applyBorder="1" applyAlignment="1" applyProtection="1">
      <alignment horizontal="center" vertical="center"/>
      <protection/>
    </xf>
    <xf numFmtId="0" fontId="28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75" fillId="41" borderId="17" xfId="50" applyFont="1" applyFill="1" applyBorder="1" applyAlignment="1">
      <alignment horizontal="center" vertical="center" wrapText="1"/>
      <protection/>
    </xf>
    <xf numFmtId="0" fontId="75" fillId="41" borderId="15" xfId="50" applyFont="1" applyFill="1" applyBorder="1" applyAlignment="1">
      <alignment horizontal="left" vertical="center" wrapText="1"/>
      <protection/>
    </xf>
    <xf numFmtId="0" fontId="75" fillId="41" borderId="0" xfId="50" applyFont="1" applyFill="1" applyAlignment="1">
      <alignment horizontal="center" vertical="top" wrapText="1"/>
      <protection/>
    </xf>
    <xf numFmtId="0" fontId="75" fillId="41" borderId="19" xfId="50" applyFont="1" applyFill="1" applyBorder="1" applyAlignment="1">
      <alignment horizontal="center" vertical="top" wrapText="1"/>
      <protection/>
    </xf>
    <xf numFmtId="0" fontId="75" fillId="41" borderId="18" xfId="50" applyFont="1" applyFill="1" applyBorder="1" applyAlignment="1">
      <alignment horizontal="left" vertical="center" wrapText="1"/>
      <protection/>
    </xf>
    <xf numFmtId="0" fontId="76" fillId="41" borderId="34" xfId="50" applyFont="1" applyFill="1" applyBorder="1" applyAlignment="1">
      <alignment horizontal="left" vertical="center" wrapText="1"/>
      <protection/>
    </xf>
    <xf numFmtId="0" fontId="76" fillId="41" borderId="43" xfId="50" applyFont="1" applyFill="1" applyBorder="1" applyAlignment="1">
      <alignment horizontal="left" vertical="center" wrapText="1"/>
      <protection/>
    </xf>
    <xf numFmtId="0" fontId="76" fillId="41" borderId="44" xfId="50" applyFont="1" applyFill="1" applyBorder="1" applyAlignment="1">
      <alignment horizontal="left" vertical="center" wrapText="1"/>
      <protection/>
    </xf>
    <xf numFmtId="0" fontId="75" fillId="41" borderId="0" xfId="50" applyFont="1" applyFill="1" applyAlignment="1">
      <alignment horizontal="left" vertical="center" wrapText="1"/>
      <protection/>
    </xf>
    <xf numFmtId="0" fontId="56" fillId="41" borderId="45" xfId="50" applyFill="1" applyBorder="1" applyAlignment="1" applyProtection="1">
      <alignment wrapText="1"/>
      <protection locked="0"/>
    </xf>
    <xf numFmtId="0" fontId="75" fillId="41" borderId="20" xfId="50" applyFont="1" applyFill="1" applyBorder="1" applyAlignment="1">
      <alignment horizontal="center" vertical="top" wrapText="1"/>
      <protection/>
    </xf>
    <xf numFmtId="0" fontId="75" fillId="41" borderId="0" xfId="50" applyFont="1" applyFill="1" applyBorder="1" applyAlignment="1">
      <alignment horizontal="center" vertical="top" wrapText="1"/>
      <protection/>
    </xf>
    <xf numFmtId="0" fontId="75" fillId="41" borderId="32" xfId="50" applyFont="1" applyFill="1" applyBorder="1" applyAlignment="1">
      <alignment horizontal="center" vertical="top" wrapText="1"/>
      <protection/>
    </xf>
    <xf numFmtId="0" fontId="75" fillId="41" borderId="15" xfId="50" applyFont="1" applyFill="1" applyBorder="1" applyAlignment="1">
      <alignment horizontal="center" vertical="center" wrapText="1"/>
      <protection/>
    </xf>
    <xf numFmtId="0" fontId="75" fillId="41" borderId="46" xfId="50" applyFont="1" applyFill="1" applyBorder="1" applyAlignment="1">
      <alignment horizontal="left" vertical="center" wrapText="1"/>
      <protection/>
    </xf>
    <xf numFmtId="0" fontId="75" fillId="41" borderId="26" xfId="50" applyFont="1" applyFill="1" applyBorder="1" applyAlignment="1">
      <alignment horizontal="left" vertical="center" wrapText="1"/>
      <protection/>
    </xf>
    <xf numFmtId="0" fontId="56" fillId="41" borderId="47" xfId="50" applyFill="1" applyBorder="1" applyAlignment="1" applyProtection="1">
      <alignment wrapText="1"/>
      <protection locked="0"/>
    </xf>
    <xf numFmtId="0" fontId="76" fillId="41" borderId="0" xfId="50" applyFont="1" applyFill="1" applyAlignment="1">
      <alignment horizontal="left" vertical="center" wrapText="1"/>
      <protection/>
    </xf>
    <xf numFmtId="0" fontId="75" fillId="41" borderId="0" xfId="50" applyFont="1" applyFill="1" applyAlignment="1">
      <alignment horizontal="left" vertical="top" wrapText="1"/>
      <protection/>
    </xf>
    <xf numFmtId="38" fontId="26" fillId="7" borderId="0" xfId="0" applyNumberFormat="1" applyFont="1" applyFill="1" applyAlignment="1" applyProtection="1">
      <alignment horizontal="center" vertical="center" wrapText="1"/>
      <protection/>
    </xf>
    <xf numFmtId="0" fontId="28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208" fontId="26" fillId="7" borderId="23" xfId="6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6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114300</xdr:rowOff>
    </xdr:from>
    <xdr:to>
      <xdr:col>6</xdr:col>
      <xdr:colOff>0</xdr:colOff>
      <xdr:row>22</xdr:row>
      <xdr:rowOff>1752600</xdr:rowOff>
    </xdr:to>
    <xdr:sp>
      <xdr:nvSpPr>
        <xdr:cNvPr id="1" name="Rectangle 1"/>
        <xdr:cNvSpPr>
          <a:spLocks/>
        </xdr:cNvSpPr>
      </xdr:nvSpPr>
      <xdr:spPr>
        <a:xfrm>
          <a:off x="161925" y="2466975"/>
          <a:ext cx="82486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origem/espécie/rubrica de receita e/ou grupo de natureza de despesa.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-Os dados de inflação e crescimento PIB foram extraídos do Relatório de Mercado Focus de 06/08/2021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-O aumento salarial de 6,09 previsto para 2022 refere-se na verdade à inflação do ano de 2020 (4,52%) mais 1,57% (parte da inflação de 2017) que por questões legais impeditivas não foram devidamente concedidas mas que estavam previstas e com suficiência financeira.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-Crescimento vegetativo folha salarial com base no Relatório da Avaliação Atuarial, sendo 1,41% ao ano para quadro geral e 1,64% para o magistério, dado que 50% do quadro corresponde ao magistério, adotou-se o percentual proporcional de 1,52%.</a:t>
          </a:r>
        </a:p>
      </xdr:txBody>
    </xdr:sp>
    <xdr:clientData/>
  </xdr:twoCellAnchor>
  <xdr:twoCellAnchor>
    <xdr:from>
      <xdr:col>5</xdr:col>
      <xdr:colOff>371475</xdr:colOff>
      <xdr:row>23</xdr:row>
      <xdr:rowOff>0</xdr:rowOff>
    </xdr:from>
    <xdr:to>
      <xdr:col>5</xdr:col>
      <xdr:colOff>381000</xdr:colOff>
      <xdr:row>23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8201025" y="4895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1912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45243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452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102870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10287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161734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1617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220599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22059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I23"/>
  <sheetViews>
    <sheetView showGridLines="0" tabSelected="1" zoomScaleSheetLayoutView="70" zoomScalePageLayoutView="0" workbookViewId="0" topLeftCell="A7">
      <selection activeCell="A42" sqref="A42"/>
    </sheetView>
  </sheetViews>
  <sheetFormatPr defaultColWidth="8.8515625" defaultRowHeight="12.75"/>
  <cols>
    <col min="1" max="1" width="82.57421875" style="27" customWidth="1"/>
    <col min="2" max="6" width="8.7109375" style="27" customWidth="1"/>
    <col min="7" max="7" width="0.2890625" style="27" customWidth="1"/>
    <col min="8" max="16384" width="8.8515625" style="27" customWidth="1"/>
  </cols>
  <sheetData>
    <row r="1" spans="1:6" ht="12.75" customHeight="1" hidden="1">
      <c r="A1" s="238" t="s">
        <v>417</v>
      </c>
      <c r="B1" s="238"/>
      <c r="C1" s="238"/>
      <c r="D1" s="238"/>
      <c r="E1" s="238"/>
      <c r="F1" s="238"/>
    </row>
    <row r="2" spans="1:6" ht="12" customHeight="1" hidden="1">
      <c r="A2" s="238"/>
      <c r="B2" s="238"/>
      <c r="C2" s="238"/>
      <c r="D2" s="238"/>
      <c r="E2" s="238"/>
      <c r="F2" s="238"/>
    </row>
    <row r="3" spans="1:6" ht="12" customHeight="1" hidden="1">
      <c r="A3" s="238"/>
      <c r="B3" s="238"/>
      <c r="C3" s="238"/>
      <c r="D3" s="238"/>
      <c r="E3" s="238"/>
      <c r="F3" s="238"/>
    </row>
    <row r="4" spans="1:6" ht="12" customHeight="1" hidden="1">
      <c r="A4" s="238"/>
      <c r="B4" s="238"/>
      <c r="C4" s="238"/>
      <c r="D4" s="238"/>
      <c r="E4" s="238"/>
      <c r="F4" s="238"/>
    </row>
    <row r="5" spans="1:6" ht="12" customHeight="1" hidden="1">
      <c r="A5" s="238"/>
      <c r="B5" s="238"/>
      <c r="C5" s="238"/>
      <c r="D5" s="238"/>
      <c r="E5" s="238"/>
      <c r="F5" s="238"/>
    </row>
    <row r="6" spans="1:6" ht="15.75" customHeight="1" hidden="1">
      <c r="A6" s="238"/>
      <c r="B6" s="238"/>
      <c r="C6" s="238"/>
      <c r="D6" s="238"/>
      <c r="E6" s="238"/>
      <c r="F6" s="238"/>
    </row>
    <row r="7" spans="1:9" ht="12">
      <c r="A7" s="239"/>
      <c r="B7" s="239"/>
      <c r="C7" s="239"/>
      <c r="D7" s="239"/>
      <c r="E7" s="239"/>
      <c r="F7" s="239"/>
      <c r="G7" s="230"/>
      <c r="H7" s="230"/>
      <c r="I7" s="231"/>
    </row>
    <row r="8" spans="1:9" ht="12">
      <c r="A8" s="244" t="s">
        <v>230</v>
      </c>
      <c r="B8" s="245"/>
      <c r="C8" s="245"/>
      <c r="D8" s="245"/>
      <c r="E8" s="245"/>
      <c r="F8" s="245"/>
      <c r="G8" s="230"/>
      <c r="H8" s="230"/>
      <c r="I8" s="231"/>
    </row>
    <row r="9" spans="1:9" ht="21" customHeight="1">
      <c r="A9" s="242" t="s">
        <v>405</v>
      </c>
      <c r="B9" s="243"/>
      <c r="C9" s="243"/>
      <c r="D9" s="243"/>
      <c r="E9" s="243"/>
      <c r="F9" s="243"/>
      <c r="G9" s="228"/>
      <c r="H9" s="228"/>
      <c r="I9" s="229"/>
    </row>
    <row r="10" spans="1:9" ht="25.5" customHeight="1">
      <c r="A10" s="59" t="s">
        <v>199</v>
      </c>
      <c r="B10" s="59">
        <v>2021</v>
      </c>
      <c r="C10" s="59">
        <f>B10+1</f>
        <v>2022</v>
      </c>
      <c r="D10" s="59">
        <f>C10+1</f>
        <v>2023</v>
      </c>
      <c r="E10" s="59">
        <f>D10+1</f>
        <v>2024</v>
      </c>
      <c r="F10" s="59">
        <f>E10+1</f>
        <v>2025</v>
      </c>
      <c r="G10" s="28"/>
      <c r="H10" s="28"/>
      <c r="I10" s="28"/>
    </row>
    <row r="11" spans="1:6" ht="12.75">
      <c r="A11" s="60" t="s">
        <v>30</v>
      </c>
      <c r="B11" s="63">
        <v>0.0688</v>
      </c>
      <c r="C11" s="63">
        <v>0.0384</v>
      </c>
      <c r="D11" s="63">
        <v>0.0325</v>
      </c>
      <c r="E11" s="63">
        <v>0.03</v>
      </c>
      <c r="F11" s="63">
        <v>0.03</v>
      </c>
    </row>
    <row r="12" spans="1:6" ht="12.75">
      <c r="A12" s="60" t="s">
        <v>31</v>
      </c>
      <c r="B12" s="63">
        <v>0.053</v>
      </c>
      <c r="C12" s="63">
        <v>0.0205</v>
      </c>
      <c r="D12" s="63">
        <v>0.025</v>
      </c>
      <c r="E12" s="63">
        <v>0.025</v>
      </c>
      <c r="F12" s="63">
        <v>0.025</v>
      </c>
    </row>
    <row r="13" spans="1:6" ht="12.75">
      <c r="A13" s="61" t="s">
        <v>32</v>
      </c>
      <c r="B13" s="203">
        <f>((1.41*0.5)+(1.64*0.5))/100</f>
        <v>0.01525</v>
      </c>
      <c r="C13" s="203">
        <f>((1.41*0.5)+(1.64*0.5))/100</f>
        <v>0.01525</v>
      </c>
      <c r="D13" s="203">
        <f>((1.41*0.5)+(1.64*0.5))/100</f>
        <v>0.01525</v>
      </c>
      <c r="E13" s="203">
        <f>((1.41*0.5)+(1.64*0.5))/100</f>
        <v>0.01525</v>
      </c>
      <c r="F13" s="203">
        <f>((1.41*0.5)+(1.64*0.5))/100</f>
        <v>0.01525</v>
      </c>
    </row>
    <row r="14" spans="1:6" ht="12.75">
      <c r="A14" s="62" t="s">
        <v>231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</row>
    <row r="15" spans="1:6" ht="12.75">
      <c r="A15" s="62" t="s">
        <v>235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</row>
    <row r="16" spans="1:6" ht="12.75">
      <c r="A16" s="62" t="s">
        <v>237</v>
      </c>
      <c r="B16" s="63">
        <f>B11</f>
        <v>0.0688</v>
      </c>
      <c r="C16" s="63">
        <f>C11</f>
        <v>0.0384</v>
      </c>
      <c r="D16" s="63">
        <f>D11</f>
        <v>0.0325</v>
      </c>
      <c r="E16" s="63">
        <f>E11</f>
        <v>0.03</v>
      </c>
      <c r="F16" s="63">
        <f>F11</f>
        <v>0.03</v>
      </c>
    </row>
    <row r="17" spans="1:6" ht="12.75">
      <c r="A17" s="62" t="s">
        <v>238</v>
      </c>
      <c r="B17" s="63">
        <f>B11</f>
        <v>0.0688</v>
      </c>
      <c r="C17" s="63">
        <f>C11</f>
        <v>0.0384</v>
      </c>
      <c r="D17" s="63">
        <f>D11</f>
        <v>0.0325</v>
      </c>
      <c r="E17" s="63">
        <f>E11</f>
        <v>0.03</v>
      </c>
      <c r="F17" s="63">
        <f>F11</f>
        <v>0.03</v>
      </c>
    </row>
    <row r="18" spans="1:6" ht="12.75">
      <c r="A18" s="60" t="s">
        <v>232</v>
      </c>
      <c r="B18" s="63">
        <v>0</v>
      </c>
      <c r="C18" s="203">
        <f>((1.0452*1.015)-1)</f>
        <v>0.060877999999999766</v>
      </c>
      <c r="D18" s="63">
        <v>0</v>
      </c>
      <c r="E18" s="63">
        <v>0</v>
      </c>
      <c r="F18" s="63">
        <v>0</v>
      </c>
    </row>
    <row r="19" spans="1:6" ht="12.75">
      <c r="A19" s="60" t="s">
        <v>233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</row>
    <row r="20" spans="1:6" ht="14.25">
      <c r="A20" s="31"/>
      <c r="B20" s="11"/>
      <c r="C20" s="11"/>
      <c r="D20" s="11"/>
      <c r="E20" s="11"/>
      <c r="F20" s="11"/>
    </row>
    <row r="21" spans="1:6" ht="12">
      <c r="A21" s="240"/>
      <c r="B21" s="241"/>
      <c r="C21" s="241"/>
      <c r="D21" s="241"/>
      <c r="E21" s="241"/>
      <c r="F21" s="241"/>
    </row>
    <row r="22" spans="1:7" ht="12">
      <c r="A22" s="241"/>
      <c r="B22" s="241"/>
      <c r="C22" s="241"/>
      <c r="D22" s="241"/>
      <c r="E22" s="241"/>
      <c r="F22" s="241"/>
      <c r="G22" s="30"/>
    </row>
    <row r="23" spans="1:7" ht="162" customHeight="1">
      <c r="A23" s="241"/>
      <c r="B23" s="241"/>
      <c r="C23" s="241"/>
      <c r="D23" s="241"/>
      <c r="E23" s="241"/>
      <c r="F23" s="241"/>
      <c r="G23" s="30"/>
    </row>
  </sheetData>
  <sheetProtection/>
  <mergeCells count="4">
    <mergeCell ref="A1:F7"/>
    <mergeCell ref="A21:F23"/>
    <mergeCell ref="A9:F9"/>
    <mergeCell ref="A8:F8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82.28125" style="72" customWidth="1"/>
    <col min="2" max="3" width="18.140625" style="72" bestFit="1" customWidth="1"/>
    <col min="4" max="4" width="18.140625" style="84" bestFit="1" customWidth="1"/>
    <col min="5" max="5" width="18.140625" style="72" bestFit="1" customWidth="1"/>
    <col min="6" max="16384" width="9.140625" style="72" customWidth="1"/>
  </cols>
  <sheetData>
    <row r="1" spans="1:5" s="71" customFormat="1" ht="12.75" customHeight="1">
      <c r="A1" s="294" t="str">
        <f>Parâmetros!A1</f>
        <v>Município de :  IVOTI</v>
      </c>
      <c r="B1" s="254"/>
      <c r="C1" s="254"/>
      <c r="D1" s="254"/>
      <c r="E1" s="254"/>
    </row>
    <row r="2" spans="1:5" s="71" customFormat="1" ht="12.75" customHeight="1">
      <c r="A2" s="294" t="s">
        <v>349</v>
      </c>
      <c r="B2" s="254"/>
      <c r="C2" s="254"/>
      <c r="D2" s="254"/>
      <c r="E2" s="254"/>
    </row>
    <row r="3" spans="1:5" ht="12.75" customHeight="1">
      <c r="A3" s="295" t="s">
        <v>411</v>
      </c>
      <c r="B3" s="296"/>
      <c r="C3" s="296"/>
      <c r="D3" s="296"/>
      <c r="E3" s="296"/>
    </row>
    <row r="4" spans="1:5" ht="12.75" customHeight="1">
      <c r="A4" s="88"/>
      <c r="B4" s="88"/>
      <c r="C4" s="88"/>
      <c r="D4" s="73"/>
      <c r="E4" s="89"/>
    </row>
    <row r="5" spans="1:5" ht="12.75" customHeight="1">
      <c r="A5" s="90" t="s">
        <v>351</v>
      </c>
      <c r="B5" s="297"/>
      <c r="C5" s="297"/>
      <c r="D5" s="297"/>
      <c r="E5" s="297"/>
    </row>
    <row r="6" spans="1:5" ht="12.75" customHeight="1">
      <c r="A6" s="109" t="s">
        <v>352</v>
      </c>
      <c r="B6" s="108">
        <f>Parâmetros!C10</f>
        <v>2022</v>
      </c>
      <c r="C6" s="96">
        <f>B6+1</f>
        <v>2023</v>
      </c>
      <c r="D6" s="96">
        <f>C6+1</f>
        <v>2024</v>
      </c>
      <c r="E6" s="96">
        <f>D6+1</f>
        <v>2025</v>
      </c>
    </row>
    <row r="7" spans="1:6" ht="12.75" customHeight="1">
      <c r="A7" s="102" t="s">
        <v>395</v>
      </c>
      <c r="B7" s="100">
        <f>Projeções!F132</f>
        <v>112419999.99611789</v>
      </c>
      <c r="C7" s="100">
        <f>Projeções!G132</f>
        <v>112829999.99972841</v>
      </c>
      <c r="D7" s="100">
        <f>Projeções!H132</f>
        <v>115809999.99841228</v>
      </c>
      <c r="E7" s="120">
        <f>Projeções!I132</f>
        <v>117129999.99557975</v>
      </c>
      <c r="F7" s="83"/>
    </row>
    <row r="8" spans="1:5" ht="12.75" customHeight="1">
      <c r="A8" s="102" t="s">
        <v>396</v>
      </c>
      <c r="B8" s="100">
        <f>Educação!B24</f>
        <v>28818371.073323853</v>
      </c>
      <c r="C8" s="100">
        <f>Educação!C24</f>
        <v>29238435.309137966</v>
      </c>
      <c r="D8" s="100">
        <f>Educação!D24</f>
        <v>30486851.45430672</v>
      </c>
      <c r="E8" s="101">
        <f>Educação!E24</f>
        <v>30392937.338801645</v>
      </c>
    </row>
    <row r="9" spans="1:5" ht="12.75" customHeight="1">
      <c r="A9" s="102" t="s">
        <v>397</v>
      </c>
      <c r="B9" s="100">
        <f>Saúde!B21</f>
        <v>11555140.919443913</v>
      </c>
      <c r="C9" s="100">
        <f>Saúde!C21</f>
        <v>11719196.784942187</v>
      </c>
      <c r="D9" s="100">
        <f>Saúde!D21</f>
        <v>11706773.274821216</v>
      </c>
      <c r="E9" s="101">
        <f>Saúde!E21</f>
        <v>12010181.436194513</v>
      </c>
    </row>
    <row r="10" spans="1:5" ht="12.75" customHeight="1">
      <c r="A10" s="102" t="s">
        <v>398</v>
      </c>
      <c r="B10" s="100">
        <f>'Ass.Social'!B13</f>
        <v>891472.9186773334</v>
      </c>
      <c r="C10" s="100">
        <f>'Ass.Social'!C13</f>
        <v>901430.1375599587</v>
      </c>
      <c r="D10" s="100">
        <f>'Ass.Social'!D13</f>
        <v>875420.0139944828</v>
      </c>
      <c r="E10" s="101">
        <f>'Ass.Social'!E13</f>
        <v>916124.2541129094</v>
      </c>
    </row>
    <row r="11" spans="1:5" ht="12.75" customHeight="1">
      <c r="A11" s="102" t="s">
        <v>399</v>
      </c>
      <c r="B11" s="100">
        <f>RPPS!B12</f>
        <v>18420000.001340937</v>
      </c>
      <c r="C11" s="100">
        <f>RPPS!C12</f>
        <v>17970000.003635798</v>
      </c>
      <c r="D11" s="100">
        <f>RPPS!D12</f>
        <v>18919999.99797236</v>
      </c>
      <c r="E11" s="101">
        <f>RPPS!E12</f>
        <v>19050000.003496826</v>
      </c>
    </row>
    <row r="12" spans="1:5" ht="12.75" customHeight="1">
      <c r="A12" s="102" t="s">
        <v>400</v>
      </c>
      <c r="B12" s="100">
        <v>900000</v>
      </c>
      <c r="C12" s="100">
        <v>950000</v>
      </c>
      <c r="D12" s="100">
        <v>1000000</v>
      </c>
      <c r="E12" s="101">
        <v>1050000</v>
      </c>
    </row>
    <row r="13" spans="1:5" ht="12.75" customHeight="1">
      <c r="A13" s="102" t="s">
        <v>443</v>
      </c>
      <c r="B13" s="100">
        <f>Projeções!F30+Projeções!F42+Projeções!F83+Projeções!F122</f>
        <v>8999999.998127999</v>
      </c>
      <c r="C13" s="100">
        <f>Projeções!G30+Projeções!G42+Projeções!G83+Projeções!G122</f>
        <v>9179999.996092744</v>
      </c>
      <c r="D13" s="100">
        <f>Projeções!H30+Projeções!H42+Projeções!H83+Projeções!H122</f>
        <v>9300000.000306908</v>
      </c>
      <c r="E13" s="100">
        <f>Projeções!I30+Projeções!I42+Projeções!I83+Projeções!I122</f>
        <v>9429999.998121163</v>
      </c>
    </row>
    <row r="14" spans="1:5" ht="12.75" customHeight="1">
      <c r="A14" s="117" t="s">
        <v>401</v>
      </c>
      <c r="B14" s="118">
        <f>B7-B8-B9-B10-B11-B12-B13</f>
        <v>42835015.08520387</v>
      </c>
      <c r="C14" s="118">
        <f>C7-C8-C9-C10-C11-C12-C13</f>
        <v>42870937.76835976</v>
      </c>
      <c r="D14" s="118">
        <f>D7-D8-D9-D10-D11-D12-D13</f>
        <v>43520955.25701058</v>
      </c>
      <c r="E14" s="118">
        <f>E7-E8-E9-E10-E11-E12-E13</f>
        <v>44280756.96485268</v>
      </c>
    </row>
    <row r="15" spans="1:5" ht="12.75" customHeight="1">
      <c r="A15" s="91"/>
      <c r="B15" s="92"/>
      <c r="C15" s="92"/>
      <c r="D15" s="92"/>
      <c r="E15" s="92"/>
    </row>
    <row r="16" spans="1:5" ht="12.75" customHeight="1">
      <c r="A16" s="74" t="s">
        <v>402</v>
      </c>
      <c r="B16" s="78">
        <f>B6</f>
        <v>2022</v>
      </c>
      <c r="C16" s="78">
        <f>B16+1</f>
        <v>2023</v>
      </c>
      <c r="D16" s="78">
        <f>C16+1</f>
        <v>2024</v>
      </c>
      <c r="E16" s="78">
        <f>D16+1</f>
        <v>2025</v>
      </c>
    </row>
    <row r="17" spans="1:5" ht="12.75" customHeight="1">
      <c r="A17" s="85"/>
      <c r="B17" s="86"/>
      <c r="C17" s="86"/>
      <c r="D17" s="86"/>
      <c r="E17" s="86"/>
    </row>
    <row r="18" spans="1:5" ht="12.75" customHeight="1">
      <c r="A18" s="80" t="str">
        <f>Projeções!B150</f>
        <v>Pessoal e Encargos Sociais - Demais Áreas</v>
      </c>
      <c r="B18" s="87">
        <f>Projeções!F150</f>
        <v>16079301.7936509</v>
      </c>
      <c r="C18" s="87">
        <f>Projeções!G150</f>
        <v>15539570.779864196</v>
      </c>
      <c r="D18" s="87">
        <f>Projeções!H150</f>
        <v>16033536.19851906</v>
      </c>
      <c r="E18" s="87">
        <f>Projeções!I150</f>
        <v>16610160.415327301</v>
      </c>
    </row>
    <row r="19" spans="1:5" ht="12.75" customHeight="1">
      <c r="A19" s="80" t="str">
        <f>Projeções!B157</f>
        <v>Juros e Encargos da Dívida - Demais Áreas</v>
      </c>
      <c r="B19" s="75">
        <f>Projeções!F157</f>
        <v>79511.01141866668</v>
      </c>
      <c r="C19" s="75">
        <f>Projeções!G157</f>
        <v>74630.33604659112</v>
      </c>
      <c r="D19" s="75">
        <f>Projeções!H157</f>
        <v>63221.86262973851</v>
      </c>
      <c r="E19" s="75">
        <f>Projeções!I157</f>
        <v>74628.03546594873</v>
      </c>
    </row>
    <row r="20" spans="1:5" ht="12.75" customHeight="1">
      <c r="A20" s="80" t="str">
        <f>Projeções!B164</f>
        <v>Outros Benef.Assistênciais - Demais Áreas</v>
      </c>
      <c r="B20" s="75">
        <f>Projeções!F164</f>
        <v>0</v>
      </c>
      <c r="C20" s="75">
        <f>Projeções!G164</f>
        <v>0</v>
      </c>
      <c r="D20" s="75">
        <f>Projeções!H164</f>
        <v>0</v>
      </c>
      <c r="E20" s="75">
        <f>Projeções!I164</f>
        <v>0</v>
      </c>
    </row>
    <row r="21" spans="1:5" ht="12.75" customHeight="1">
      <c r="A21" s="80" t="str">
        <f>Projeções!B171</f>
        <v>Auxílio - Alimentação - Demais Áreas</v>
      </c>
      <c r="B21" s="75">
        <f>Projeções!F171</f>
        <v>707747.4749439999</v>
      </c>
      <c r="C21" s="75">
        <f>Projeções!G171</f>
        <v>707858.0747726165</v>
      </c>
      <c r="D21" s="75">
        <f>Projeções!H171</f>
        <v>730874.2433608022</v>
      </c>
      <c r="E21" s="75">
        <f>Projeções!I171</f>
        <v>736958.0622899137</v>
      </c>
    </row>
    <row r="22" spans="1:5" ht="12.75" customHeight="1">
      <c r="A22" s="80" t="str">
        <f>Projeções!B178</f>
        <v>Obrigações Tributárias e Contributivas -Demais Áreas</v>
      </c>
      <c r="B22" s="75">
        <f>Projeções!F178</f>
        <v>1018390.7177813333</v>
      </c>
      <c r="C22" s="75">
        <f>Projeções!G178</f>
        <v>1021074.7417440455</v>
      </c>
      <c r="D22" s="75">
        <f>Projeções!H178</f>
        <v>1043432.6123199846</v>
      </c>
      <c r="E22" s="75">
        <f>Projeções!I178</f>
        <v>1058461.671333575</v>
      </c>
    </row>
    <row r="23" spans="1:5" ht="12.75" customHeight="1">
      <c r="A23" s="80" t="str">
        <f>Projeções!B185</f>
        <v>Sentenças Judiciais - Demais Áreas</v>
      </c>
      <c r="B23" s="75">
        <f>Projeções!F185</f>
        <v>371131.5499466667</v>
      </c>
      <c r="C23" s="75">
        <f>Projeções!G185</f>
        <v>390639.7153566445</v>
      </c>
      <c r="D23" s="75">
        <f>Projeções!H185</f>
        <v>399218.1344208035</v>
      </c>
      <c r="E23" s="75">
        <f>Projeções!I185</f>
        <v>398606.3605719461</v>
      </c>
    </row>
    <row r="24" spans="1:5" ht="12.75" customHeight="1">
      <c r="A24" s="80" t="str">
        <f>Projeções!B192</f>
        <v>Indenizações e Restituições - Demais Áreas</v>
      </c>
      <c r="B24" s="75">
        <f>Projeções!F192+Projeções!F199</f>
        <v>336206.8419893333</v>
      </c>
      <c r="C24" s="75">
        <f>Projeções!G192+Projeções!G199</f>
        <v>300617.5037679956</v>
      </c>
      <c r="D24" s="75">
        <f>Projeções!H192+Projeções!H199</f>
        <v>280099.6920433496</v>
      </c>
      <c r="E24" s="75">
        <f>Projeções!I192+Projeções!I199</f>
        <v>314810.5863115663</v>
      </c>
    </row>
    <row r="25" spans="1:5" ht="12.75" customHeight="1">
      <c r="A25" s="80" t="str">
        <f>Projeções!B206</f>
        <v>Amortização da Dívida - Demais Áreas</v>
      </c>
      <c r="B25" s="75">
        <f>Projeções!F206</f>
        <v>502121.0933333333</v>
      </c>
      <c r="C25" s="75">
        <f>Projeções!G206</f>
        <v>532866.4311111111</v>
      </c>
      <c r="D25" s="75">
        <f>Projeções!H206</f>
        <v>457495.84148148145</v>
      </c>
      <c r="E25" s="75">
        <f>Projeções!I206</f>
        <v>497494.45530864195</v>
      </c>
    </row>
    <row r="26" spans="1:5" ht="12.75" customHeight="1">
      <c r="A26" s="81" t="s">
        <v>350</v>
      </c>
      <c r="B26" s="76">
        <f>SUM(B18:B25)</f>
        <v>19094410.48306423</v>
      </c>
      <c r="C26" s="76">
        <f>SUM(C18:C25)</f>
        <v>18567257.582663205</v>
      </c>
      <c r="D26" s="76">
        <f>SUM(D18:D25)</f>
        <v>19007878.584775217</v>
      </c>
      <c r="E26" s="76">
        <f>SUM(E18:E25)</f>
        <v>19691119.586608894</v>
      </c>
    </row>
    <row r="27" spans="1:5" ht="12.75" customHeight="1">
      <c r="A27" s="82" t="s">
        <v>403</v>
      </c>
      <c r="B27" s="77">
        <f>B14-B26</f>
        <v>23740604.60213964</v>
      </c>
      <c r="C27" s="77">
        <f>C14-C26</f>
        <v>24303680.185696553</v>
      </c>
      <c r="D27" s="77">
        <f>D14-D26</f>
        <v>24513076.672235362</v>
      </c>
      <c r="E27" s="77">
        <f>E14-E26</f>
        <v>24589637.37824379</v>
      </c>
    </row>
    <row r="28" spans="1:5" ht="12.75" customHeight="1">
      <c r="A28" s="81" t="s">
        <v>447</v>
      </c>
      <c r="B28" s="81">
        <f>((1573935.98+1384642.38+1472272.272)/3)*(1+Parâmetros!B11)</f>
        <v>1578564.3851605335</v>
      </c>
      <c r="C28" s="81">
        <f>((1384642.38+1472272.272+B28)/3)*(1+Parâmetros!C11)</f>
        <v>1535267.1440624993</v>
      </c>
      <c r="D28" s="81">
        <f>((1472272.272+B28+C28)/3)*(1+Parâmetros!D11)</f>
        <v>1578384.0582542606</v>
      </c>
      <c r="E28" s="81">
        <f>((B28+C28+D28)/3)*(1+Parâmetros!E11)</f>
        <v>1610994.018367204</v>
      </c>
    </row>
    <row r="29" spans="1:5" ht="12.75" customHeight="1">
      <c r="A29" s="81" t="s">
        <v>449</v>
      </c>
      <c r="B29" s="81"/>
      <c r="C29" s="81"/>
      <c r="D29" s="81"/>
      <c r="E29" s="81"/>
    </row>
    <row r="30" spans="1:5" ht="12.75" customHeight="1">
      <c r="A30" s="82" t="s">
        <v>448</v>
      </c>
      <c r="B30" s="82">
        <f>B27-B28</f>
        <v>22162040.21697911</v>
      </c>
      <c r="C30" s="82">
        <f>C27-C28-C29</f>
        <v>22768413.041634053</v>
      </c>
      <c r="D30" s="82">
        <f>D27-D28</f>
        <v>22934692.6139811</v>
      </c>
      <c r="E30" s="82">
        <f>E27-E28</f>
        <v>22978643.359876584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4">
    <mergeCell ref="A1:E1"/>
    <mergeCell ref="A2:E2"/>
    <mergeCell ref="A3:E3"/>
    <mergeCell ref="B5:E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365"/>
  <sheetViews>
    <sheetView zoomScale="75" zoomScaleNormal="75" zoomScaleSheetLayoutView="30" workbookViewId="0" topLeftCell="A122">
      <selection activeCell="F53" sqref="F53"/>
    </sheetView>
  </sheetViews>
  <sheetFormatPr defaultColWidth="19.140625" defaultRowHeight="12.75"/>
  <cols>
    <col min="1" max="1" width="27.7109375" style="4" customWidth="1"/>
    <col min="2" max="2" width="68.7109375" style="4" customWidth="1"/>
    <col min="3" max="3" width="21.140625" style="4" bestFit="1" customWidth="1"/>
    <col min="4" max="5" width="20.8515625" style="4" bestFit="1" customWidth="1"/>
    <col min="6" max="7" width="21.140625" style="4" bestFit="1" customWidth="1"/>
    <col min="8" max="8" width="19.7109375" style="4" bestFit="1" customWidth="1"/>
    <col min="9" max="9" width="23.7109375" style="4" bestFit="1" customWidth="1"/>
    <col min="10" max="177" width="19.140625" style="54" customWidth="1"/>
    <col min="178" max="16384" width="19.140625" style="4" customWidth="1"/>
  </cols>
  <sheetData>
    <row r="1" spans="1:177" s="2" customFormat="1" ht="17.25" customHeight="1">
      <c r="A1" s="246" t="str">
        <f>Parâmetros!A1</f>
        <v>Município de :  IVOTI</v>
      </c>
      <c r="B1" s="247"/>
      <c r="C1" s="247"/>
      <c r="D1" s="247"/>
      <c r="E1" s="247"/>
      <c r="F1" s="247"/>
      <c r="G1" s="247"/>
      <c r="H1" s="247"/>
      <c r="I1" s="2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</row>
    <row r="2" spans="1:177" s="2" customFormat="1" ht="30" customHeight="1">
      <c r="A2" s="248" t="str">
        <f>Parâmetros!A8</f>
        <v>PLANO PLURIANUAL 2022 - 2025</v>
      </c>
      <c r="B2" s="247"/>
      <c r="C2" s="247"/>
      <c r="D2" s="247"/>
      <c r="E2" s="247"/>
      <c r="F2" s="247"/>
      <c r="G2" s="247"/>
      <c r="H2" s="247"/>
      <c r="I2" s="2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</row>
    <row r="3" spans="1:177" s="2" customFormat="1" ht="19.5" customHeight="1">
      <c r="A3" s="249" t="s">
        <v>404</v>
      </c>
      <c r="B3" s="247"/>
      <c r="C3" s="247"/>
      <c r="D3" s="247"/>
      <c r="E3" s="247"/>
      <c r="F3" s="247"/>
      <c r="G3" s="247"/>
      <c r="H3" s="247"/>
      <c r="I3" s="2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</row>
    <row r="4" spans="1:177" s="2" customFormat="1" ht="15.75" hidden="1">
      <c r="A4" s="12"/>
      <c r="B4" s="13"/>
      <c r="C4" s="13"/>
      <c r="D4" s="13"/>
      <c r="E4" s="13"/>
      <c r="F4" s="13"/>
      <c r="G4" s="13"/>
      <c r="H4" s="13"/>
      <c r="I4" s="13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</row>
    <row r="5" spans="1:177" s="2" customFormat="1" ht="15.75">
      <c r="A5" s="14"/>
      <c r="B5" s="15"/>
      <c r="C5" s="15"/>
      <c r="D5" s="15"/>
      <c r="E5" s="15"/>
      <c r="F5" s="15"/>
      <c r="G5" s="15"/>
      <c r="H5" s="15"/>
      <c r="I5" s="16" t="s">
        <v>28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</row>
    <row r="6" spans="1:177" s="1" customFormat="1" ht="15.75">
      <c r="A6" s="121"/>
      <c r="B6" s="122" t="s">
        <v>0</v>
      </c>
      <c r="C6" s="139" t="s">
        <v>33</v>
      </c>
      <c r="D6" s="139" t="s">
        <v>33</v>
      </c>
      <c r="E6" s="139" t="s">
        <v>426</v>
      </c>
      <c r="F6" s="140" t="s">
        <v>5</v>
      </c>
      <c r="G6" s="140" t="s">
        <v>5</v>
      </c>
      <c r="H6" s="141" t="s">
        <v>5</v>
      </c>
      <c r="I6" s="142" t="s">
        <v>5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</row>
    <row r="7" spans="1:177" s="1" customFormat="1" ht="27.75" customHeight="1">
      <c r="A7" s="123"/>
      <c r="B7" s="124" t="s">
        <v>3</v>
      </c>
      <c r="C7" s="143">
        <v>2019</v>
      </c>
      <c r="D7" s="144">
        <f aca="true" t="shared" si="0" ref="D7:I7">C7+1</f>
        <v>2020</v>
      </c>
      <c r="E7" s="144">
        <f t="shared" si="0"/>
        <v>2021</v>
      </c>
      <c r="F7" s="144">
        <f t="shared" si="0"/>
        <v>2022</v>
      </c>
      <c r="G7" s="144">
        <f t="shared" si="0"/>
        <v>2023</v>
      </c>
      <c r="H7" s="144">
        <f t="shared" si="0"/>
        <v>2024</v>
      </c>
      <c r="I7" s="144">
        <f t="shared" si="0"/>
        <v>2025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</row>
    <row r="8" spans="1:177" s="38" customFormat="1" ht="17.25" customHeight="1">
      <c r="A8" s="125" t="s">
        <v>34</v>
      </c>
      <c r="B8" s="126" t="s">
        <v>35</v>
      </c>
      <c r="C8" s="145">
        <f aca="true" t="shared" si="1" ref="C8:I8">C9+C15+C23+C38+C39+C40+C44+C79</f>
        <v>98376011.66</v>
      </c>
      <c r="D8" s="145">
        <f t="shared" si="1"/>
        <v>102502125.95</v>
      </c>
      <c r="E8" s="145">
        <f t="shared" si="1"/>
        <v>111721476.92</v>
      </c>
      <c r="F8" s="145">
        <f t="shared" si="1"/>
        <v>112664933.84345122</v>
      </c>
      <c r="G8" s="145">
        <f t="shared" si="1"/>
        <v>113197021.28681985</v>
      </c>
      <c r="H8" s="145">
        <f t="shared" si="1"/>
        <v>116235801.04823725</v>
      </c>
      <c r="I8" s="145">
        <f t="shared" si="1"/>
        <v>117517919.41043882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</row>
    <row r="9" spans="1:177" s="8" customFormat="1" ht="12.75">
      <c r="A9" s="127" t="s">
        <v>36</v>
      </c>
      <c r="B9" s="128" t="s">
        <v>37</v>
      </c>
      <c r="C9" s="146">
        <f aca="true" t="shared" si="2" ref="C9:I9">C10+C11+C12+C13+C14</f>
        <v>17760821.07</v>
      </c>
      <c r="D9" s="146">
        <f t="shared" si="2"/>
        <v>17913432.57</v>
      </c>
      <c r="E9" s="146">
        <f t="shared" si="2"/>
        <v>17401868.58</v>
      </c>
      <c r="F9" s="146">
        <f t="shared" si="2"/>
        <v>19952721.17983827</v>
      </c>
      <c r="G9" s="146">
        <f t="shared" si="2"/>
        <v>19130104.79576802</v>
      </c>
      <c r="H9" s="146">
        <f t="shared" si="2"/>
        <v>19440149.04288783</v>
      </c>
      <c r="I9" s="146">
        <f t="shared" si="2"/>
        <v>20092888.08968298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</row>
    <row r="10" spans="1:177" s="8" customFormat="1" ht="12.75">
      <c r="A10" s="129" t="s">
        <v>183</v>
      </c>
      <c r="B10" s="130" t="s">
        <v>186</v>
      </c>
      <c r="C10" s="192">
        <v>1503736.94</v>
      </c>
      <c r="D10" s="35">
        <v>1587328.82</v>
      </c>
      <c r="E10" s="35">
        <v>1742000</v>
      </c>
      <c r="F10" s="147">
        <f>((C10+D10+E10)/3)*(1+Parâmetros!B11)*(1+Parâmetros!C15)*(1+Parâmetros!C18)*(1+Parâmetros!B13)</f>
        <v>1854540.5604967235</v>
      </c>
      <c r="G10" s="147">
        <f>((D10+E10+F10)/3)*(1+Parâmetros!C11)*(1+Parâmetros!D15)</f>
        <v>1794309.9882359325</v>
      </c>
      <c r="H10" s="147">
        <f>((E10+F10+G10)/3)*(1+Parâmetros!D11)*(1+Parâmetros!E15)</f>
        <v>1855351.0638554893</v>
      </c>
      <c r="I10" s="147">
        <f>((F10+G10+H10)/3)*(1+Parâmetros!E11)*(1+Parâmetros!F15)</f>
        <v>1889775.8869885965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</row>
    <row r="11" spans="1:177" s="8" customFormat="1" ht="12.75">
      <c r="A11" s="129" t="s">
        <v>184</v>
      </c>
      <c r="B11" s="130" t="s">
        <v>187</v>
      </c>
      <c r="C11" s="192">
        <v>0</v>
      </c>
      <c r="D11" s="35"/>
      <c r="E11" s="35"/>
      <c r="F11" s="147">
        <f>((C11+D11+E11)/3)*(1+Parâmetros!C11)*(1+Parâmetros!C15)</f>
        <v>0</v>
      </c>
      <c r="G11" s="147">
        <f>((D11+E11+F11)/3)*(1+Parâmetros!D11)*(1+Parâmetros!D15)</f>
        <v>0</v>
      </c>
      <c r="H11" s="147">
        <f>((E11+F11+G11)/3)*(1+Parâmetros!E11)*(1+Parâmetros!E15)</f>
        <v>0</v>
      </c>
      <c r="I11" s="147">
        <f>((F11+G11+H11)/3)*(1+Parâmetros!F11)*(1+Parâmetros!F15)</f>
        <v>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</row>
    <row r="12" spans="1:177" s="8" customFormat="1" ht="12.75">
      <c r="A12" s="129" t="s">
        <v>38</v>
      </c>
      <c r="B12" s="130" t="s">
        <v>185</v>
      </c>
      <c r="C12" s="192">
        <v>13917786.58</v>
      </c>
      <c r="D12" s="35">
        <v>13815097.73</v>
      </c>
      <c r="E12" s="35">
        <f>71000+5630000+((1562438.66/6)*12)+((2253345.63/6)*12)</f>
        <v>13332568.58</v>
      </c>
      <c r="F12" s="147">
        <f>((C12+D12+E12)/3)*(1+Parâmetros!B11)*(1+Parâmetros!C15)*(1+Parâmetros!B12)</f>
        <v>15405655.373140031</v>
      </c>
      <c r="G12" s="147">
        <f>((D12+E12+F12)/3)*(1+Parâmetros!C11)*(1+Parâmetros!D15)</f>
        <v>14729123.078590868</v>
      </c>
      <c r="H12" s="147">
        <f>((E12+F12+G12)/3)*(1+Parâmetros!D11)*(1+Parâmetros!E15)</f>
        <v>14960011.936754052</v>
      </c>
      <c r="I12" s="147">
        <f>((F12+G12+H12)/3)*(1+Parâmetros!E11)*(1+Parâmetros!F15)</f>
        <v>15482544.700046502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</row>
    <row r="13" spans="1:177" s="8" customFormat="1" ht="12" customHeight="1">
      <c r="A13" s="129" t="s">
        <v>39</v>
      </c>
      <c r="B13" s="130" t="s">
        <v>40</v>
      </c>
      <c r="C13" s="192">
        <v>2332664.94</v>
      </c>
      <c r="D13" s="35">
        <v>2511006.02</v>
      </c>
      <c r="E13" s="35">
        <v>2326300</v>
      </c>
      <c r="F13" s="147">
        <f>((C13+D13+E13)/3)*(1+Parâmetros!B11)*(1+Parâmetros!C15)*(1+Parâmetros!B12)</f>
        <v>2689806.0016788477</v>
      </c>
      <c r="G13" s="147">
        <f>((D13+E13+F13)/3)*(1+Parâmetros!C11)*(1+Parâmetros!D15)</f>
        <v>2605384.374437105</v>
      </c>
      <c r="H13" s="147">
        <f>((E13+F13+G13)/3)*(1+Parâmetros!D11)*(1+Parâmetros!E15)</f>
        <v>2623062.9377799067</v>
      </c>
      <c r="I13" s="147">
        <f>((F13+G13+H13)/3)*(1+Parâmetros!E11)*(1+Parâmetros!F15)</f>
        <v>2718600.304437578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</row>
    <row r="14" spans="1:177" s="8" customFormat="1" ht="12.75">
      <c r="A14" s="129" t="s">
        <v>41</v>
      </c>
      <c r="B14" s="130" t="s">
        <v>42</v>
      </c>
      <c r="C14" s="192">
        <v>6632.61</v>
      </c>
      <c r="D14" s="35"/>
      <c r="E14" s="35">
        <v>1000</v>
      </c>
      <c r="F14" s="147">
        <f>((C14+D14+E14)/3)*(1+Parâmetros!B11)*(1+Parâmetros!C15)</f>
        <v>2719.244522666667</v>
      </c>
      <c r="G14" s="147">
        <f>((D14+E14+F14)/3)*(1+Parâmetros!C11)*(1+Parâmetros!D15)</f>
        <v>1287.3545041123557</v>
      </c>
      <c r="H14" s="147">
        <f>((E14+F14+G14)/3)*(1+Parâmetros!D11)*(1+Parâmetros!E15)</f>
        <v>1723.1044983831134</v>
      </c>
      <c r="I14" s="147">
        <f>((F14+G14+H14)/3)*(1+Parâmetros!E11)*(1+Parâmetros!F15)</f>
        <v>1967.1982103056669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</row>
    <row r="15" spans="1:177" ht="12.75">
      <c r="A15" s="127" t="s">
        <v>43</v>
      </c>
      <c r="B15" s="128" t="s">
        <v>44</v>
      </c>
      <c r="C15" s="146">
        <f aca="true" t="shared" si="3" ref="C15:I15">C16+C21+C22</f>
        <v>2726519.13</v>
      </c>
      <c r="D15" s="146">
        <f t="shared" si="3"/>
        <v>2802087.55</v>
      </c>
      <c r="E15" s="146">
        <f t="shared" si="3"/>
        <v>3640000</v>
      </c>
      <c r="F15" s="146">
        <f t="shared" si="3"/>
        <v>3518171.242780939</v>
      </c>
      <c r="G15" s="146">
        <f t="shared" si="3"/>
        <v>3500153.1348542296</v>
      </c>
      <c r="H15" s="146">
        <f t="shared" si="3"/>
        <v>3724180.632895638</v>
      </c>
      <c r="I15" s="146">
        <f t="shared" si="3"/>
        <v>3744506.0194332143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</row>
    <row r="16" spans="1:177" ht="12.75">
      <c r="A16" s="127" t="s">
        <v>45</v>
      </c>
      <c r="B16" s="128" t="s">
        <v>46</v>
      </c>
      <c r="C16" s="146">
        <f aca="true" t="shared" si="4" ref="C16:I16">C17+C18+C19+C20</f>
        <v>2726519.13</v>
      </c>
      <c r="D16" s="146">
        <f t="shared" si="4"/>
        <v>2802087.55</v>
      </c>
      <c r="E16" s="146">
        <f t="shared" si="4"/>
        <v>3640000</v>
      </c>
      <c r="F16" s="146">
        <f t="shared" si="4"/>
        <v>3518171.242780939</v>
      </c>
      <c r="G16" s="146">
        <f t="shared" si="4"/>
        <v>3500153.1348542296</v>
      </c>
      <c r="H16" s="146">
        <f t="shared" si="4"/>
        <v>3724180.632895638</v>
      </c>
      <c r="I16" s="146">
        <f t="shared" si="4"/>
        <v>3744506.0194332143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</row>
    <row r="17" spans="1:177" ht="25.5">
      <c r="A17" s="129" t="s">
        <v>47</v>
      </c>
      <c r="B17" s="130" t="s">
        <v>176</v>
      </c>
      <c r="C17" s="192">
        <v>2726519.13</v>
      </c>
      <c r="D17" s="35">
        <v>2802087.55</v>
      </c>
      <c r="E17" s="35">
        <v>3640000</v>
      </c>
      <c r="F17" s="147">
        <f>((C17+D17+E17)/3)*(1+Parâmetros!B11)*(1+Parâmetros!C13)*(1+Parâmetros!C18)</f>
        <v>3518171.242780939</v>
      </c>
      <c r="G17" s="147">
        <f>((D17+E17+F17)/3)*(1+Parâmetros!C11)*(1+Parâmetros!D13)*(1+Parâmetros!D18)</f>
        <v>3500153.1348542296</v>
      </c>
      <c r="H17" s="147">
        <f>((E17+F17+G17)/3)*(1+Parâmetros!D11)*(1+Parâmetros!E13)*(1+Parâmetros!E18)</f>
        <v>3724180.632895638</v>
      </c>
      <c r="I17" s="147">
        <f>((F17+G17+H17)/3)*(1+Parâmetros!E11)*(1+Parâmetros!F13)*(1+Parâmetros!F18)</f>
        <v>3744506.0194332143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</row>
    <row r="18" spans="1:177" ht="12.75">
      <c r="A18" s="129" t="s">
        <v>48</v>
      </c>
      <c r="B18" s="130" t="s">
        <v>49</v>
      </c>
      <c r="C18" s="35"/>
      <c r="D18" s="35"/>
      <c r="E18" s="35"/>
      <c r="F18" s="147">
        <f>((C18+D18+E18)/3)*(1+Parâmetros!C11)*(1+Parâmetros!C13)*(1+Parâmetros!C18)</f>
        <v>0</v>
      </c>
      <c r="G18" s="147">
        <f>((D18+E18+F18)/3)*(1+Parâmetros!D11)*(1+Parâmetros!D13)*(1+Parâmetros!D18)</f>
        <v>0</v>
      </c>
      <c r="H18" s="147">
        <f>((E18+F18+G18)/3)*(1+Parâmetros!E11)*(1+Parâmetros!E13)*(1+Parâmetros!E18)</f>
        <v>0</v>
      </c>
      <c r="I18" s="147">
        <f>((F18+G18+H18)/3)*(1+Parâmetros!F11)*(1+Parâmetros!F13)*(1+Parâmetros!F18)</f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</row>
    <row r="19" spans="1:177" ht="12.75">
      <c r="A19" s="129" t="s">
        <v>50</v>
      </c>
      <c r="B19" s="130" t="s">
        <v>51</v>
      </c>
      <c r="C19" s="35"/>
      <c r="D19" s="35"/>
      <c r="E19" s="35"/>
      <c r="F19" s="147">
        <f>((C19+D19+E19)/3)*(1+Parâmetros!C11)</f>
        <v>0</v>
      </c>
      <c r="G19" s="147">
        <f>((D19+E19+F19)/3)*(1+Parâmetros!D11)</f>
        <v>0</v>
      </c>
      <c r="H19" s="147">
        <f>((E19+F19+G19)/3)*(1+Parâmetros!E11)</f>
        <v>0</v>
      </c>
      <c r="I19" s="147">
        <f>((F19+G19+H19)/3)*(1+Parâmetros!F11)</f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</row>
    <row r="20" spans="1:177" ht="12.75">
      <c r="A20" s="129" t="s">
        <v>52</v>
      </c>
      <c r="B20" s="130" t="s">
        <v>53</v>
      </c>
      <c r="C20" s="35"/>
      <c r="D20" s="35"/>
      <c r="E20" s="35"/>
      <c r="F20" s="147">
        <f>((C20+D20+E20)/3)*(1+Parâmetros!C11)</f>
        <v>0</v>
      </c>
      <c r="G20" s="147">
        <f>((D20+E20+F20)/3)*(1+Parâmetros!D11)</f>
        <v>0</v>
      </c>
      <c r="H20" s="147">
        <f>((E20+F20+G20)/3)*(1+Parâmetros!E11)</f>
        <v>0</v>
      </c>
      <c r="I20" s="147">
        <f>((F20+G20+H20)/3)*(1+Parâmetros!F11)</f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</row>
    <row r="21" spans="1:177" s="8" customFormat="1" ht="12.75">
      <c r="A21" s="129" t="s">
        <v>54</v>
      </c>
      <c r="B21" s="130" t="s">
        <v>55</v>
      </c>
      <c r="C21" s="35"/>
      <c r="D21" s="35"/>
      <c r="E21" s="35"/>
      <c r="F21" s="147">
        <f>((C21+D21+E21)/3)*(1+Parâmetros!C11)</f>
        <v>0</v>
      </c>
      <c r="G21" s="147">
        <f>((D21+E21+F21)/3)*(1+Parâmetros!D11)</f>
        <v>0</v>
      </c>
      <c r="H21" s="147">
        <f>((E21+F21+G21)/3)*(1+Parâmetros!E11)</f>
        <v>0</v>
      </c>
      <c r="I21" s="147">
        <f>((F21+G21+H21)/3)*(1+Parâmetros!F11)</f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</row>
    <row r="22" spans="1:177" s="8" customFormat="1" ht="12.75">
      <c r="A22" s="129" t="s">
        <v>56</v>
      </c>
      <c r="B22" s="130" t="s">
        <v>57</v>
      </c>
      <c r="C22" s="35"/>
      <c r="D22" s="35"/>
      <c r="E22" s="35"/>
      <c r="F22" s="147">
        <f>((C22+D22+E22)/3)*(1+Parâmetros!C11)*(1+Parâmetros!C12)</f>
        <v>0</v>
      </c>
      <c r="G22" s="147">
        <f>((D22+E22+F22)/3)*(1+Parâmetros!D11)*(1+Parâmetros!D12)</f>
        <v>0</v>
      </c>
      <c r="H22" s="147">
        <f>((E22+F22+G22)/3)*(1+Parâmetros!E11)*(1+Parâmetros!E12)</f>
        <v>0</v>
      </c>
      <c r="I22" s="147">
        <f>((F22+G22+H22)/3)*(1+Parâmetros!F11)*(1+Parâmetros!F12)</f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</row>
    <row r="23" spans="1:177" s="8" customFormat="1" ht="12.75">
      <c r="A23" s="127" t="s">
        <v>58</v>
      </c>
      <c r="B23" s="128" t="s">
        <v>59</v>
      </c>
      <c r="C23" s="146">
        <f aca="true" t="shared" si="5" ref="C23:I23">C24+C25+C35+C36+C37</f>
        <v>8167167.029999999</v>
      </c>
      <c r="D23" s="146">
        <f t="shared" si="5"/>
        <v>4950377.3</v>
      </c>
      <c r="E23" s="146">
        <f t="shared" si="5"/>
        <v>7062500</v>
      </c>
      <c r="F23" s="146">
        <f t="shared" si="5"/>
        <v>7192711.836634667</v>
      </c>
      <c r="G23" s="146">
        <f t="shared" si="5"/>
        <v>6645596.996493812</v>
      </c>
      <c r="H23" s="146">
        <f t="shared" si="5"/>
        <v>7188459.956735051</v>
      </c>
      <c r="I23" s="146">
        <f t="shared" si="5"/>
        <v>7227301.107853145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</row>
    <row r="24" spans="1:177" s="8" customFormat="1" ht="12.75">
      <c r="A24" s="129" t="s">
        <v>60</v>
      </c>
      <c r="B24" s="130" t="s">
        <v>234</v>
      </c>
      <c r="C24" s="192">
        <v>163888.81</v>
      </c>
      <c r="D24" s="35">
        <v>56402.76</v>
      </c>
      <c r="E24" s="35">
        <v>54000</v>
      </c>
      <c r="F24" s="147">
        <f>((C24+D24+E24)/3)*(1+Parâmetros!B11)</f>
        <v>97720.94333866666</v>
      </c>
      <c r="G24" s="147">
        <f>((D24+E24+F24)/3)*(1+Parâmetros!C11)</f>
        <v>72038.55118229048</v>
      </c>
      <c r="H24" s="147">
        <f>((E24+F24+G24)/3)*(1+Parâmetros!D11)</f>
        <v>77010.55936429607</v>
      </c>
      <c r="I24" s="147">
        <f>((F24+G24+H24)/3)*(1+Parâmetros!E11)</f>
        <v>84724.38516727026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</row>
    <row r="25" spans="1:177" s="37" customFormat="1" ht="15.75">
      <c r="A25" s="127" t="s">
        <v>61</v>
      </c>
      <c r="B25" s="128" t="s">
        <v>62</v>
      </c>
      <c r="C25" s="146">
        <f>SUM(C26:C34)</f>
        <v>7947109.529999999</v>
      </c>
      <c r="D25" s="146">
        <f aca="true" t="shared" si="6" ref="D25:I25">SUM(D26:D34)</f>
        <v>4619319.95</v>
      </c>
      <c r="E25" s="146">
        <f t="shared" si="6"/>
        <v>6978000</v>
      </c>
      <c r="F25" s="146">
        <f t="shared" si="6"/>
        <v>6966263.452741333</v>
      </c>
      <c r="G25" s="146">
        <f t="shared" si="6"/>
        <v>6423377.411802199</v>
      </c>
      <c r="H25" s="146">
        <f t="shared" si="6"/>
        <v>7004961.314213732</v>
      </c>
      <c r="I25" s="146">
        <f t="shared" si="6"/>
        <v>7010257.238039996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</row>
    <row r="26" spans="1:177" ht="25.5">
      <c r="A26" s="129" t="s">
        <v>63</v>
      </c>
      <c r="B26" s="130" t="s">
        <v>377</v>
      </c>
      <c r="C26" s="35">
        <f>24803.32+11567.57+14441.74</f>
        <v>50812.63</v>
      </c>
      <c r="D26" s="35">
        <f>14930.48+6526.9+2210.96</f>
        <v>23668.339999999997</v>
      </c>
      <c r="E26" s="35">
        <f>18000+8000+2500</f>
        <v>28500</v>
      </c>
      <c r="F26" s="147">
        <f>((C26+D26+E26)/3)*(1+Parâmetros!B11)</f>
        <v>36688.686912</v>
      </c>
      <c r="G26" s="147">
        <f>((D26+E26+F26)/3)*(1+Parâmetros!C11)</f>
        <v>30756.378915140267</v>
      </c>
      <c r="H26" s="147">
        <f>((E26+F26+G26)/3)*(1+Parâmetros!D11)</f>
        <v>33021.09348884077</v>
      </c>
      <c r="I26" s="147">
        <f>((F26+G26+H26)/3)*(1+Parâmetros!E11)</f>
        <v>34493.38136515349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</row>
    <row r="27" spans="1:177" ht="25.5">
      <c r="A27" s="129" t="s">
        <v>63</v>
      </c>
      <c r="B27" s="130" t="s">
        <v>376</v>
      </c>
      <c r="C27" s="35">
        <f>18107.5+8920.84</f>
        <v>27028.34</v>
      </c>
      <c r="D27" s="35">
        <f>6613.41+7845.21</f>
        <v>14458.619999999999</v>
      </c>
      <c r="E27" s="35">
        <v>17500</v>
      </c>
      <c r="F27" s="147">
        <f>((C27+D27+E27)/3)*(1+Parâmetros!B11)</f>
        <v>21015.087616</v>
      </c>
      <c r="G27" s="147">
        <f>((D27+E27+F27)/3)*(1+Parâmetros!C11)</f>
        <v>18335.965996151466</v>
      </c>
      <c r="H27" s="147">
        <f>((E27+F27+G27)/3)*(1+Parâmetros!D11)</f>
        <v>19566.23761818213</v>
      </c>
      <c r="I27" s="147">
        <f>((F27+G27+H27)/3)*(1+Parâmetros!E11)</f>
        <v>20228.269989081204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</row>
    <row r="28" spans="1:177" ht="25.5">
      <c r="A28" s="129" t="s">
        <v>63</v>
      </c>
      <c r="B28" s="130" t="s">
        <v>380</v>
      </c>
      <c r="C28" s="35">
        <v>1131.1</v>
      </c>
      <c r="D28" s="35">
        <v>960.56</v>
      </c>
      <c r="E28" s="35">
        <v>800</v>
      </c>
      <c r="F28" s="147">
        <f>((C28+D28+E28)/3)*(1+Parâmetros!B11)</f>
        <v>1030.2020693333334</v>
      </c>
      <c r="G28" s="147">
        <f>((D28+E28+F28)/3)*(1+Parâmetros!C11)</f>
        <v>965.9757775985778</v>
      </c>
      <c r="H28" s="147">
        <f>((E28+F28+G28)/3)*(1+Parâmetros!D11)</f>
        <v>962.3512089857327</v>
      </c>
      <c r="I28" s="147">
        <f>((F28+G28+H28)/3)*(1+Parâmetros!E11)</f>
        <v>1015.7616425317243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</row>
    <row r="29" spans="1:177" ht="12.75">
      <c r="A29" s="129" t="s">
        <v>63</v>
      </c>
      <c r="B29" s="130" t="s">
        <v>236</v>
      </c>
      <c r="C29" s="192">
        <v>30474.12</v>
      </c>
      <c r="D29" s="35">
        <v>33385.2</v>
      </c>
      <c r="E29" s="35">
        <v>14000</v>
      </c>
      <c r="F29" s="147">
        <f>((C29+D29+E29)/3)*(1+Parâmetros!B11)</f>
        <v>27738.68040533333</v>
      </c>
      <c r="G29" s="147">
        <f>((D29+E29+F29)/3)*(1+Parâmetros!C11)</f>
        <v>26002.87913763271</v>
      </c>
      <c r="H29" s="147">
        <f>((E29+F29+G29)/3)*(1+Parâmetros!D11)</f>
        <v>23314.386742704148</v>
      </c>
      <c r="I29" s="147">
        <f>((F29+G29+H29)/3)*(1+Parâmetros!E11)</f>
        <v>26455.87489141343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</row>
    <row r="30" spans="1:177" ht="12.75">
      <c r="A30" s="129" t="s">
        <v>64</v>
      </c>
      <c r="B30" s="232" t="s">
        <v>444</v>
      </c>
      <c r="C30" s="192">
        <v>329981.72</v>
      </c>
      <c r="D30" s="35">
        <v>142907.73</v>
      </c>
      <c r="E30" s="35">
        <v>144000</v>
      </c>
      <c r="F30" s="147">
        <f>((C30+D30+E30)/3)*(1+Parâmetros!B11)</f>
        <v>219777.1480533333</v>
      </c>
      <c r="G30" s="147">
        <f>((D30+E30+F30)/3)*(1+Parâmetros!C11)</f>
        <v>175380.52579019376</v>
      </c>
      <c r="H30" s="147">
        <f>((E30+F30+G30)/3)*(1+Parâmetros!D11)</f>
        <v>185560.09941448053</v>
      </c>
      <c r="I30" s="147">
        <f>((F30+G30+H30)/3)*(1+Parâmetros!E11)</f>
        <v>199379.7688185826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</row>
    <row r="31" spans="1:177" ht="12.75">
      <c r="A31" s="129" t="s">
        <v>64</v>
      </c>
      <c r="B31" s="130" t="s">
        <v>65</v>
      </c>
      <c r="C31" s="192">
        <f>671371.22-C30</f>
        <v>341389.5</v>
      </c>
      <c r="D31" s="35">
        <f>328128.86-D30</f>
        <v>185221.12999999998</v>
      </c>
      <c r="E31" s="35">
        <f>337200-E30</f>
        <v>193200</v>
      </c>
      <c r="F31" s="147">
        <f>((C31+D31+E31)/3)*(1+Parâmetros!B11)+166.61</f>
        <v>256611.14378133332</v>
      </c>
      <c r="G31" s="147">
        <f>((D31+E31+F31)/3)*(1+Parâmetros!C11)-69.52</f>
        <v>219736.31769817884</v>
      </c>
      <c r="H31" s="147">
        <f>((E31+F31+G31)/3)*(1+Parâmetros!D11)-1744.42</f>
        <v>228691.4979925321</v>
      </c>
      <c r="I31" s="147">
        <f>((F31+G31+H31)/3)*(1+Parâmetros!E11)+4123.12</f>
        <v>246186.49608540186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</row>
    <row r="32" spans="1:177" ht="12.75">
      <c r="A32" s="129" t="s">
        <v>66</v>
      </c>
      <c r="B32" s="130" t="s">
        <v>67</v>
      </c>
      <c r="C32" s="192">
        <v>7163458.1</v>
      </c>
      <c r="D32" s="35">
        <v>4216605.9</v>
      </c>
      <c r="E32" s="35">
        <v>6580000</v>
      </c>
      <c r="F32" s="147">
        <f>((C32+D32+E32)/3)*(1+Parâmetros!B11)+3068.1</f>
        <v>6401640.2343999995</v>
      </c>
      <c r="G32" s="147">
        <f>((D32+E32+F32)/3)*(1+Parâmetros!C11)-2028.07</f>
        <v>5950858.1919869855</v>
      </c>
      <c r="H32" s="147">
        <f>((E32+F32+G32)/3)*(1+Parâmetros!D11)-3157.33</f>
        <v>6512777.54508152</v>
      </c>
      <c r="I32" s="147">
        <f>((F32+G32+H32)/3)*(1+Parâmetros!E11)+3987.37</f>
        <v>6481065.453537522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</row>
    <row r="33" spans="1:177" ht="12.75">
      <c r="A33" s="129" t="s">
        <v>68</v>
      </c>
      <c r="B33" s="130" t="s">
        <v>69</v>
      </c>
      <c r="C33" s="192">
        <v>0</v>
      </c>
      <c r="D33" s="35"/>
      <c r="E33" s="35"/>
      <c r="F33" s="147">
        <f>((C33+D33+E33)/3)*(1+Parâmetros!C11)</f>
        <v>0</v>
      </c>
      <c r="G33" s="147">
        <f>((D33+E33+F33)/3)*(1+Parâmetros!D11)</f>
        <v>0</v>
      </c>
      <c r="H33" s="147">
        <f>((E33+F33+G33)/3)*(1+Parâmetros!E11)</f>
        <v>0</v>
      </c>
      <c r="I33" s="147">
        <f>((F33+G33+H33)/3)*(1+Parâmetros!F11)</f>
        <v>0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</row>
    <row r="34" spans="1:177" ht="12.75">
      <c r="A34" s="129" t="s">
        <v>70</v>
      </c>
      <c r="B34" s="130" t="s">
        <v>71</v>
      </c>
      <c r="C34" s="192">
        <v>2834.02</v>
      </c>
      <c r="D34" s="35">
        <v>2112.47</v>
      </c>
      <c r="E34" s="35"/>
      <c r="F34" s="147">
        <f>((C34+D34+E34)/3)*(1+Parâmetros!B11)</f>
        <v>1762.2695039999999</v>
      </c>
      <c r="G34" s="147">
        <f>((D34+E34+F34)/3)*(1+Parâmetros!C11)</f>
        <v>1341.1765003178666</v>
      </c>
      <c r="H34" s="147">
        <f>((E34+F34+G34)/3)*(1+Parâmetros!D11)</f>
        <v>1068.1026664860656</v>
      </c>
      <c r="I34" s="147">
        <f>((F34+G34+H34)/3)*(1+Parâmetros!E11)</f>
        <v>1432.2317103093499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</row>
    <row r="35" spans="1:177" ht="25.5">
      <c r="A35" s="129" t="s">
        <v>72</v>
      </c>
      <c r="B35" s="130" t="s">
        <v>73</v>
      </c>
      <c r="C35" s="192">
        <v>56168.69</v>
      </c>
      <c r="D35" s="35">
        <v>48654.59</v>
      </c>
      <c r="E35" s="35">
        <v>30500</v>
      </c>
      <c r="F35" s="147">
        <f>((C35+D35+E35)/3)*(1+Parâmetros!B11)</f>
        <v>48211.173888</v>
      </c>
      <c r="G35" s="147">
        <f>((D35+E35+F35)/3)*(1+Parâmetros!C11)</f>
        <v>44085.53640709973</v>
      </c>
      <c r="H35" s="147">
        <f>((E35+F35+G35)/3)*(1+Parâmetros!D11)</f>
        <v>42262.534459896815</v>
      </c>
      <c r="I35" s="147">
        <f>((F35+G35+H35)/3)*(1+Parâmetros!E11)</f>
        <v>46198.67403254881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</row>
    <row r="36" spans="1:177" ht="12.75">
      <c r="A36" s="129" t="s">
        <v>74</v>
      </c>
      <c r="B36" s="130" t="s">
        <v>75</v>
      </c>
      <c r="C36" s="35"/>
      <c r="D36" s="35">
        <v>226000</v>
      </c>
      <c r="E36" s="35"/>
      <c r="F36" s="147">
        <f>((C36+D36+E36)/3)*(1+Parâmetros!B11)</f>
        <v>80516.26666666666</v>
      </c>
      <c r="G36" s="147">
        <f>((D36+E36+F36)/3)*(1+Parâmetros!C11)</f>
        <v>106095.49710222222</v>
      </c>
      <c r="H36" s="147">
        <f>((E36+F36+G36)/3)*(1+Parâmetros!D11)</f>
        <v>64225.54869712593</v>
      </c>
      <c r="I36" s="147">
        <f>((F36+G36+H36)/3)*(1+Parâmetros!E11)</f>
        <v>86120.81061333176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</row>
    <row r="37" spans="1:177" ht="12.75">
      <c r="A37" s="129" t="s">
        <v>76</v>
      </c>
      <c r="B37" s="130" t="s">
        <v>77</v>
      </c>
      <c r="C37" s="35"/>
      <c r="D37" s="35"/>
      <c r="E37" s="35"/>
      <c r="F37" s="147">
        <f>((C37+D37+E37)/3)*(1+Parâmetros!C11)</f>
        <v>0</v>
      </c>
      <c r="G37" s="147">
        <f>((D37+E37+F37)/3)*(1+Parâmetros!D11)</f>
        <v>0</v>
      </c>
      <c r="H37" s="147">
        <f>((E37+F37+G37)/3)*(1+Parâmetros!E11)</f>
        <v>0</v>
      </c>
      <c r="I37" s="147">
        <f>((F37+G37+H37)/3)*(1+Parâmetros!F11)</f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</row>
    <row r="38" spans="1:177" ht="12.75">
      <c r="A38" s="129" t="s">
        <v>78</v>
      </c>
      <c r="B38" s="130" t="s">
        <v>79</v>
      </c>
      <c r="C38" s="35"/>
      <c r="D38" s="35"/>
      <c r="E38" s="35"/>
      <c r="F38" s="147">
        <f>((C38+D38+E38)/3)*(1+Parâmetros!C11)</f>
        <v>0</v>
      </c>
      <c r="G38" s="147">
        <f>((D38+E38+F38)/3)*(1+Parâmetros!D11)</f>
        <v>0</v>
      </c>
      <c r="H38" s="147">
        <f>((E38+F38+G38)/3)*(1+Parâmetros!E11)</f>
        <v>0</v>
      </c>
      <c r="I38" s="147">
        <f>((F38+G38+H38)/3)*(1+Parâmetros!F11)</f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</row>
    <row r="39" spans="1:177" ht="12.75">
      <c r="A39" s="129" t="s">
        <v>105</v>
      </c>
      <c r="B39" s="130" t="s">
        <v>106</v>
      </c>
      <c r="C39" s="35"/>
      <c r="D39" s="35"/>
      <c r="E39" s="35"/>
      <c r="F39" s="147">
        <f>((C39+D39+E39)/3)*(1+Parâmetros!C11)</f>
        <v>0</v>
      </c>
      <c r="G39" s="147">
        <f>((D39+E39+F39)/3)*(1+Parâmetros!D11)</f>
        <v>0</v>
      </c>
      <c r="H39" s="147">
        <f>((E39+F39+G39)/3)*(1+Parâmetros!E11)</f>
        <v>0</v>
      </c>
      <c r="I39" s="147">
        <f>((F39+G39+H39)/3)*(1+Parâmetros!F11)</f>
        <v>0</v>
      </c>
      <c r="J39" s="67" t="s">
        <v>223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</row>
    <row r="40" spans="1:177" s="7" customFormat="1" ht="12.75">
      <c r="A40" s="127" t="s">
        <v>201</v>
      </c>
      <c r="B40" s="128" t="s">
        <v>80</v>
      </c>
      <c r="C40" s="146">
        <f aca="true" t="shared" si="7" ref="C40:I40">C41+C43+C42</f>
        <v>8307268.03</v>
      </c>
      <c r="D40" s="146">
        <f t="shared" si="7"/>
        <v>9589394.61</v>
      </c>
      <c r="E40" s="146">
        <f t="shared" si="7"/>
        <v>9510000</v>
      </c>
      <c r="F40" s="146">
        <f t="shared" si="7"/>
        <v>9764080.343210666</v>
      </c>
      <c r="G40" s="146">
        <f t="shared" si="7"/>
        <v>9990610.797137987</v>
      </c>
      <c r="H40" s="146">
        <f t="shared" si="7"/>
        <v>10071931.200803328</v>
      </c>
      <c r="I40" s="146">
        <f t="shared" si="7"/>
        <v>10240473.670462182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</row>
    <row r="41" spans="1:177" ht="25.5">
      <c r="A41" s="131" t="s">
        <v>203</v>
      </c>
      <c r="B41" s="130" t="s">
        <v>204</v>
      </c>
      <c r="C41" s="35"/>
      <c r="D41" s="35"/>
      <c r="E41" s="35"/>
      <c r="F41" s="147">
        <f>((C41+D41+E41)/3)*(1+Parâmetros!C11)</f>
        <v>0</v>
      </c>
      <c r="G41" s="147">
        <f>((D41+E41+F41)/3)*(1+Parâmetros!D11)</f>
        <v>0</v>
      </c>
      <c r="H41" s="147">
        <f>((E41+F41+G41)/3)*(1+Parâmetros!E11)</f>
        <v>0</v>
      </c>
      <c r="I41" s="147">
        <f>((F41+G41+H41)/3)*(1+Parâmetros!F11)</f>
        <v>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</row>
    <row r="42" spans="1:177" ht="12.75">
      <c r="A42" s="131" t="s">
        <v>441</v>
      </c>
      <c r="B42" s="232" t="s">
        <v>442</v>
      </c>
      <c r="C42" s="35">
        <v>7244376.4</v>
      </c>
      <c r="D42" s="35">
        <v>8416058.06</v>
      </c>
      <c r="E42" s="35">
        <v>8548000</v>
      </c>
      <c r="F42" s="147">
        <f>((C42+D42+E42)/3)*(1+Parâmetros!B11)</f>
        <v>8624658.250282666</v>
      </c>
      <c r="G42" s="147">
        <f>((D42+E42+F42)/3)*(1+Parâmetros!C11)</f>
        <v>8857107.672199175</v>
      </c>
      <c r="H42" s="147">
        <f>((E42+F42+G42)/3)*(1+Parâmetros!D11)</f>
        <v>8958577.771654168</v>
      </c>
      <c r="I42" s="147">
        <f>((F42+G42+H42)/3)*(1+Parâmetros!E11)</f>
        <v>9077851.334986698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</row>
    <row r="43" spans="1:177" ht="12.75">
      <c r="A43" s="129" t="s">
        <v>201</v>
      </c>
      <c r="B43" s="130" t="s">
        <v>202</v>
      </c>
      <c r="C43" s="192">
        <f>8307268.03-C42</f>
        <v>1062891.63</v>
      </c>
      <c r="D43" s="35">
        <f>9589394.61-D42</f>
        <v>1173336.5499999989</v>
      </c>
      <c r="E43" s="35">
        <f>10037000-E42-527000</f>
        <v>962000</v>
      </c>
      <c r="F43" s="147">
        <f>((C43+D43+E43)/3)*(1+Parâmetros!B11)</f>
        <v>1139422.0929279996</v>
      </c>
      <c r="G43" s="147">
        <f>((D43+E43+F43)/3)*(1+Parâmetros!C11)</f>
        <v>1133503.1249388112</v>
      </c>
      <c r="H43" s="147">
        <f>((E43+F43+G43)/3)*(1+Parâmetros!D11)</f>
        <v>1113353.4291491606</v>
      </c>
      <c r="I43" s="147">
        <f>((F43+G43+H43)/3)*(1+Parâmetros!E11)</f>
        <v>1162622.3354754834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</row>
    <row r="44" spans="1:177" s="7" customFormat="1" ht="12.75">
      <c r="A44" s="127" t="s">
        <v>81</v>
      </c>
      <c r="B44" s="128" t="s">
        <v>82</v>
      </c>
      <c r="C44" s="146">
        <f aca="true" t="shared" si="8" ref="C44:I44">C45+C60+C74+C75+C76+C77+C78</f>
        <v>61088962.31</v>
      </c>
      <c r="D44" s="146">
        <f t="shared" si="8"/>
        <v>66935541.15</v>
      </c>
      <c r="E44" s="146">
        <f t="shared" si="8"/>
        <v>73760908.34</v>
      </c>
      <c r="F44" s="146">
        <f t="shared" si="8"/>
        <v>71889416.04394667</v>
      </c>
      <c r="G44" s="146">
        <f t="shared" si="8"/>
        <v>73583054.25681674</v>
      </c>
      <c r="H44" s="146">
        <f t="shared" si="8"/>
        <v>75452821.14886273</v>
      </c>
      <c r="I44" s="146">
        <f t="shared" si="8"/>
        <v>75851016.7310383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</row>
    <row r="45" spans="1:177" s="7" customFormat="1" ht="12.75">
      <c r="A45" s="127" t="s">
        <v>83</v>
      </c>
      <c r="B45" s="128" t="s">
        <v>84</v>
      </c>
      <c r="C45" s="146">
        <f aca="true" t="shared" si="9" ref="C45:I45">SUM(C46:C59)</f>
        <v>24967522.02</v>
      </c>
      <c r="D45" s="146">
        <f t="shared" si="9"/>
        <v>29431549.14</v>
      </c>
      <c r="E45" s="146">
        <f t="shared" si="9"/>
        <v>29188930.74</v>
      </c>
      <c r="F45" s="146">
        <f t="shared" si="9"/>
        <v>29779618.810239993</v>
      </c>
      <c r="G45" s="146">
        <f t="shared" si="9"/>
        <v>30598220.826648403</v>
      </c>
      <c r="H45" s="146">
        <f t="shared" si="9"/>
        <v>30825896.804712426</v>
      </c>
      <c r="I45" s="146">
        <f t="shared" si="9"/>
        <v>31313282.84494961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</row>
    <row r="46" spans="1:177" ht="12.75">
      <c r="A46" s="129" t="s">
        <v>85</v>
      </c>
      <c r="B46" s="130" t="s">
        <v>428</v>
      </c>
      <c r="C46" s="192">
        <v>18779751.87</v>
      </c>
      <c r="D46" s="35">
        <v>17859971.96</v>
      </c>
      <c r="E46" s="35">
        <f>((12181548.51/6)*12)</f>
        <v>24363097.02</v>
      </c>
      <c r="F46" s="147">
        <f>((C46+D46+E46)/3)*(1+Parâmetros!B16)</f>
        <v>21733271.641493328</v>
      </c>
      <c r="G46" s="147">
        <f>((D46+E46+F46)/3)*(1+Parâmetros!C16)</f>
        <v>22137421.36711956</v>
      </c>
      <c r="H46" s="147">
        <f>((E46+F46+G46)/3)*(1+Parâmetros!D16)</f>
        <v>23483796.068180934</v>
      </c>
      <c r="I46" s="147">
        <f>((F46+G46+H46)/3)*(1+Parâmetros!E16)</f>
        <v>23125041.249699213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</row>
    <row r="47" spans="1:177" ht="25.5">
      <c r="A47" s="129" t="s">
        <v>86</v>
      </c>
      <c r="B47" s="130" t="s">
        <v>87</v>
      </c>
      <c r="C47" s="192">
        <v>827618.22</v>
      </c>
      <c r="D47" s="35">
        <v>803705.33</v>
      </c>
      <c r="E47" s="35">
        <v>820000</v>
      </c>
      <c r="F47" s="147">
        <f>((C47+D47+E47)/3)*(1+Parâmetros!B16)</f>
        <v>873324.8700799999</v>
      </c>
      <c r="G47" s="147">
        <f>((D47+E47+F47)/3)*(1+Parâmetros!C16)</f>
        <v>864305.3865876906</v>
      </c>
      <c r="H47" s="147">
        <f>((E47+F47+G47)/3)*(1+Parâmetros!D16)</f>
        <v>880251.08000313</v>
      </c>
      <c r="I47" s="147">
        <f>((F47+G47+H47)/3)*(1+Parâmetros!E16)</f>
        <v>898805.9255903151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</row>
    <row r="48" spans="1:177" ht="25.5">
      <c r="A48" s="129" t="s">
        <v>88</v>
      </c>
      <c r="B48" s="130" t="s">
        <v>89</v>
      </c>
      <c r="C48" s="192">
        <v>797041.59</v>
      </c>
      <c r="D48" s="35">
        <v>805418.85</v>
      </c>
      <c r="E48" s="35">
        <v>932333.72</v>
      </c>
      <c r="F48" s="147">
        <f>((C48+D48+E48)/3)*(1+Parâmetros!B16)</f>
        <v>903062.6660693333</v>
      </c>
      <c r="G48" s="147">
        <f>((D48+E48+F48)/3)*(1+Parâmetros!C16)</f>
        <v>914074.1803781318</v>
      </c>
      <c r="H48" s="147">
        <f>((E48+F48+G48)/3)*(1+Parâmetros!D16)</f>
        <v>946276.1199523357</v>
      </c>
      <c r="I48" s="147">
        <f>((F48+G48+H48)/3)*(1+Parâmetros!E16)</f>
        <v>948771.7851305983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</row>
    <row r="49" spans="1:177" ht="12.75">
      <c r="A49" s="129" t="s">
        <v>90</v>
      </c>
      <c r="B49" s="130" t="s">
        <v>91</v>
      </c>
      <c r="C49" s="192">
        <v>9994.9</v>
      </c>
      <c r="D49" s="35">
        <v>10753.7</v>
      </c>
      <c r="E49" s="35">
        <f>6000+1500</f>
        <v>7500</v>
      </c>
      <c r="F49" s="147">
        <f>((C49+D49+E49)/3)*(1+Parâmetros!B16)</f>
        <v>10064.034559999998</v>
      </c>
      <c r="G49" s="147">
        <f>((D49+E49+F49)/3)*(1+Parâmetros!C16)</f>
        <v>9801.711855701331</v>
      </c>
      <c r="H49" s="147">
        <f>((E49+F49+G49)/3)*(1+Parâmetros!D16)</f>
        <v>9418.377724737207</v>
      </c>
      <c r="I49" s="147">
        <f>((F49+G49+H49)/3)*(1+Parâmetros!E16)</f>
        <v>10054.215954883897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</row>
    <row r="50" spans="1:177" ht="25.5">
      <c r="A50" s="129" t="s">
        <v>92</v>
      </c>
      <c r="B50" s="130" t="s">
        <v>93</v>
      </c>
      <c r="C50" s="192">
        <v>288949.16</v>
      </c>
      <c r="D50" s="35">
        <v>302460.21</v>
      </c>
      <c r="E50" s="35">
        <v>296000</v>
      </c>
      <c r="F50" s="147">
        <f>((C50+D50+E50)/3)*(1+Parâmetros!B16)</f>
        <v>316154.37821866665</v>
      </c>
      <c r="G50" s="147">
        <f>((D50+E50+F50)/3)*(1+Parâmetros!C16)</f>
        <v>316578.59613542113</v>
      </c>
      <c r="H50" s="147">
        <f>((E50+F50+G50)/3)*(1+Parâmetros!D16)</f>
        <v>319638.9320068652</v>
      </c>
      <c r="I50" s="147">
        <f>((F50+G50+H50)/3)*(1+Parâmetros!E16)</f>
        <v>326981.02118392725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</row>
    <row r="51" spans="1:177" ht="25.5">
      <c r="A51" s="131" t="s">
        <v>246</v>
      </c>
      <c r="B51" s="130" t="s">
        <v>94</v>
      </c>
      <c r="C51" s="192">
        <v>1218795.53</v>
      </c>
      <c r="D51" s="35">
        <v>2798760.52</v>
      </c>
      <c r="E51" s="35">
        <v>959000</v>
      </c>
      <c r="F51" s="147">
        <f>((C51+D51+E51)/3)*(1+Parâmetros!B11)</f>
        <v>1772981.0354133332</v>
      </c>
      <c r="G51" s="147">
        <f>((D51+E51+F51)/3)*(1+Parâmetros!C11)</f>
        <v>1914374.010380402</v>
      </c>
      <c r="H51" s="147">
        <f>((E51+F51+G51)/3)*(1+Parâmetros!D11)</f>
        <v>1599120.5282606771</v>
      </c>
      <c r="I51" s="147">
        <f>((F51+G51+H51)/3)*(1+Parâmetros!E11)</f>
        <v>1815023.2804253483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</row>
    <row r="52" spans="1:177" ht="12.75">
      <c r="A52" s="129" t="s">
        <v>247</v>
      </c>
      <c r="B52" s="130" t="s">
        <v>95</v>
      </c>
      <c r="C52" s="192">
        <v>182728.2</v>
      </c>
      <c r="D52" s="35">
        <v>211021.98</v>
      </c>
      <c r="E52" s="35">
        <v>90200</v>
      </c>
      <c r="F52" s="147">
        <f>((C52+D52+E52)/3)*(1+Parâmetros!B11)</f>
        <v>172415.31746133335</v>
      </c>
      <c r="G52" s="147">
        <f>((D52+E52+F52)/3)*(1+Parâmetros!C11)</f>
        <v>163941.65656128284</v>
      </c>
      <c r="H52" s="147">
        <f>((E52+F52+G52)/3)*(1+Parâmetros!D11)</f>
        <v>146806.69189278374</v>
      </c>
      <c r="I52" s="147">
        <f>((F52+G52+H52)/3)*(1+Parâmetros!E11)</f>
        <v>165886.1919642873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</row>
    <row r="53" spans="1:177" ht="25.5">
      <c r="A53" s="129" t="s">
        <v>96</v>
      </c>
      <c r="B53" s="130" t="s">
        <v>97</v>
      </c>
      <c r="C53" s="192">
        <v>1688782.28</v>
      </c>
      <c r="D53" s="35">
        <v>1833496.02</v>
      </c>
      <c r="E53" s="35">
        <v>1720800</v>
      </c>
      <c r="F53" s="147">
        <f>((C53+D53+E53)/3)*(1+Parâmetros!B11)</f>
        <v>1867934.0290133331</v>
      </c>
      <c r="G53" s="147">
        <f>((D53+E53+F53)/3)*(1+Parâmetros!C11)</f>
        <v>1876814.5609651483</v>
      </c>
      <c r="H53" s="147">
        <f>((E53+F53+G53)/3)*(1+Parâmetros!D11)</f>
        <v>1881059.6397175938</v>
      </c>
      <c r="I53" s="147">
        <f>((F53+G53+H53)/3)*(1+Parâmetros!E11)</f>
        <v>1931527.4921956526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</row>
    <row r="54" spans="1:177" ht="12.75">
      <c r="A54" s="129" t="s">
        <v>98</v>
      </c>
      <c r="B54" s="130" t="s">
        <v>99</v>
      </c>
      <c r="C54" s="192">
        <v>0</v>
      </c>
      <c r="D54" s="35"/>
      <c r="E54" s="35"/>
      <c r="F54" s="147">
        <f>((C54+D54+E54)/3)*(1+Parâmetros!C16)</f>
        <v>0</v>
      </c>
      <c r="G54" s="147">
        <f>((D54+E54+F54)/3)*(1+Parâmetros!D16)</f>
        <v>0</v>
      </c>
      <c r="H54" s="147">
        <f>((E54+F54+G54)/3)*(1+Parâmetros!E16)</f>
        <v>0</v>
      </c>
      <c r="I54" s="147">
        <f>((F54+G54+H54)/3)*(1+Parâmetros!F16)</f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</row>
    <row r="55" spans="1:177" ht="12.75">
      <c r="A55" s="129" t="s">
        <v>243</v>
      </c>
      <c r="B55" s="130" t="s">
        <v>242</v>
      </c>
      <c r="C55" s="192"/>
      <c r="D55" s="35"/>
      <c r="E55" s="35"/>
      <c r="F55" s="147">
        <f>((C55+D55+E55)/3)*(1+Parâmetros!C11)</f>
        <v>0</v>
      </c>
      <c r="G55" s="147">
        <f>((D55+E55+F55)/3)*(1+Parâmetros!D11)</f>
        <v>0</v>
      </c>
      <c r="H55" s="147">
        <f>((E55+F55+G55)/3)*(1+Parâmetros!E11)</f>
        <v>0</v>
      </c>
      <c r="I55" s="147">
        <f>((F55+G55+H55)/3)*(1+Parâmetros!F11)</f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</row>
    <row r="56" spans="1:177" ht="12.75">
      <c r="A56" s="129" t="s">
        <v>244</v>
      </c>
      <c r="B56" s="130" t="s">
        <v>240</v>
      </c>
      <c r="C56" s="192">
        <v>193275</v>
      </c>
      <c r="D56" s="35"/>
      <c r="E56" s="35"/>
      <c r="F56" s="147">
        <f>((C56+D56+E56)/3)*(1+Parâmetros!B11)</f>
        <v>68857.44</v>
      </c>
      <c r="G56" s="147">
        <f>((D56+E56+F56)/3)*(1+Parâmetros!C11)</f>
        <v>23833.855231999998</v>
      </c>
      <c r="H56" s="147">
        <f>((E56+F56+G56)/3)*(1+Parâmetros!D11)</f>
        <v>31901.254109013335</v>
      </c>
      <c r="I56" s="147">
        <f>((F56+G56+H56)/3)*(1+Parâmetros!E11)</f>
        <v>42776.77527374791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</row>
    <row r="57" spans="1:177" ht="12.75">
      <c r="A57" s="129" t="s">
        <v>245</v>
      </c>
      <c r="B57" s="130" t="s">
        <v>239</v>
      </c>
      <c r="C57" s="35"/>
      <c r="D57" s="35"/>
      <c r="E57" s="35"/>
      <c r="F57" s="147">
        <f>((C57+D57+E57)/3)*(1+Parâmetros!C11)</f>
        <v>0</v>
      </c>
      <c r="G57" s="147">
        <f>((D57+E57+F57)/3)*(1+Parâmetros!D11)</f>
        <v>0</v>
      </c>
      <c r="H57" s="147">
        <f>((E57+F57+G57)/3)*(1+Parâmetros!E11)</f>
        <v>0</v>
      </c>
      <c r="I57" s="147">
        <f>((F57+G57+H57)/3)*(1+Parâmetros!F11)</f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</row>
    <row r="58" spans="1:177" ht="12.75">
      <c r="A58" s="129" t="s">
        <v>100</v>
      </c>
      <c r="B58" s="130" t="s">
        <v>241</v>
      </c>
      <c r="C58" s="35"/>
      <c r="D58" s="35"/>
      <c r="E58" s="35"/>
      <c r="F58" s="147">
        <f>((C58+D58+E58)/3)*(1+Parâmetros!C11)</f>
        <v>0</v>
      </c>
      <c r="G58" s="147">
        <f>((D58+E58+F58)/3)*(1+Parâmetros!D11)</f>
        <v>0</v>
      </c>
      <c r="H58" s="147">
        <f>((E58+F58+G58)/3)*(1+Parâmetros!E11)</f>
        <v>0</v>
      </c>
      <c r="I58" s="147">
        <f>((F58+G58+H58)/3)*(1+Parâmetros!F11)</f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</row>
    <row r="59" spans="1:177" ht="12.75">
      <c r="A59" s="129" t="s">
        <v>228</v>
      </c>
      <c r="B59" s="130" t="s">
        <v>229</v>
      </c>
      <c r="C59" s="192">
        <v>980585.27</v>
      </c>
      <c r="D59" s="35">
        <f>4805948.77+11.8</f>
        <v>4805960.569999999</v>
      </c>
      <c r="E59" s="35"/>
      <c r="F59" s="147">
        <f>((C59+D59+E59)/3)*(1+Parâmetros!B11)</f>
        <v>2061553.3979306666</v>
      </c>
      <c r="G59" s="147">
        <f>((D59+E59+F59)/3)*(1+Parâmetros!C11)</f>
        <v>2377075.501433068</v>
      </c>
      <c r="H59" s="147">
        <f>((E59+F59+G59)/3)*(1+Parâmetros!D11)</f>
        <v>1527628.112864352</v>
      </c>
      <c r="I59" s="147">
        <f>((F59+G59+H59)/3)*(1+Parâmetros!E11)</f>
        <v>2048414.907531643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</row>
    <row r="60" spans="1:177" s="7" customFormat="1" ht="12.75">
      <c r="A60" s="127" t="s">
        <v>101</v>
      </c>
      <c r="B60" s="128" t="s">
        <v>102</v>
      </c>
      <c r="C60" s="146">
        <f aca="true" t="shared" si="10" ref="C60:I60">SUM(C61:C73)</f>
        <v>19726214.040000003</v>
      </c>
      <c r="D60" s="146">
        <f t="shared" si="10"/>
        <v>20445052.95</v>
      </c>
      <c r="E60" s="146">
        <f t="shared" si="10"/>
        <v>22447500</v>
      </c>
      <c r="F60" s="146">
        <f t="shared" si="10"/>
        <v>22308979.386304</v>
      </c>
      <c r="G60" s="146">
        <f t="shared" si="10"/>
        <v>22568423.726006024</v>
      </c>
      <c r="H60" s="146">
        <f t="shared" si="10"/>
        <v>23170987.487820033</v>
      </c>
      <c r="I60" s="146">
        <f t="shared" si="10"/>
        <v>23363280.772711318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</row>
    <row r="61" spans="1:177" ht="12.75">
      <c r="A61" s="129" t="s">
        <v>103</v>
      </c>
      <c r="B61" s="130" t="s">
        <v>104</v>
      </c>
      <c r="C61" s="192">
        <v>14859130.15</v>
      </c>
      <c r="D61" s="35">
        <v>15012331.96</v>
      </c>
      <c r="E61" s="35">
        <f>13100000+3275000</f>
        <v>16375000</v>
      </c>
      <c r="F61" s="147">
        <f>((C61+D61+E61)/3)*(1+Parâmetros!B17)</f>
        <v>16476072.901056</v>
      </c>
      <c r="G61" s="147">
        <f>((D61+E61+F61)/3)*(1+Parâmetros!C17)</f>
        <v>16567119.869240183</v>
      </c>
      <c r="H61" s="147">
        <f>((E61+F61+G61)/3)*(1+Parâmetros!D17)</f>
        <v>17008094.678443603</v>
      </c>
      <c r="I61" s="147">
        <f>((F61+G61+H61)/3)*(1+Parâmetros!E17)</f>
        <v>17184275.35740066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</row>
    <row r="62" spans="1:177" ht="12.75">
      <c r="A62" s="129" t="s">
        <v>107</v>
      </c>
      <c r="B62" s="130" t="s">
        <v>108</v>
      </c>
      <c r="C62" s="192">
        <v>4328946.73</v>
      </c>
      <c r="D62" s="35">
        <v>4519069</v>
      </c>
      <c r="E62" s="35">
        <f>4340000+1085000</f>
        <v>5425000</v>
      </c>
      <c r="F62" s="147">
        <f>((C62+D62+E62)/3)*(1+Parâmetros!B17)</f>
        <v>5084999.737408</v>
      </c>
      <c r="G62" s="147">
        <f>((D62+E62+F62)/3)*(1+Parâmetros!C17)</f>
        <v>5202061.658974823</v>
      </c>
      <c r="H62" s="147">
        <f>((E62+F62+G62)/3)*(1+Parâmetros!D17)</f>
        <v>5407567.797255088</v>
      </c>
      <c r="I62" s="147">
        <f>((F62+G62+H62)/3)*(1+Parâmetros!E17)</f>
        <v>5388489.356482349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</row>
    <row r="63" spans="1:177" ht="12.75">
      <c r="A63" s="129" t="s">
        <v>109</v>
      </c>
      <c r="B63" s="130" t="s">
        <v>110</v>
      </c>
      <c r="C63" s="192">
        <v>220331.33</v>
      </c>
      <c r="D63" s="35">
        <v>213812.98</v>
      </c>
      <c r="E63" s="35">
        <f>210000+52500</f>
        <v>262500</v>
      </c>
      <c r="F63" s="147">
        <f>((C63+D63+E63)/3)*(1+Parâmetros!B17)</f>
        <v>248191.146176</v>
      </c>
      <c r="G63" s="147">
        <f>((D63+E63+F63)/3)*(1+Parâmetros!C17)</f>
        <v>250775.0282070528</v>
      </c>
      <c r="H63" s="147">
        <f>((E63+F63+G63)/3)*(1+Parâmetros!D17)</f>
        <v>262071.27501683403</v>
      </c>
      <c r="I63" s="147">
        <f>((F63+G63+H63)/3)*(1+Parâmetros!E17)</f>
        <v>261289.52429396118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</row>
    <row r="64" spans="1:177" ht="12.75">
      <c r="A64" s="129" t="s">
        <v>111</v>
      </c>
      <c r="B64" s="130" t="s">
        <v>112</v>
      </c>
      <c r="C64" s="192">
        <v>25542.39</v>
      </c>
      <c r="D64" s="35">
        <v>22320.06</v>
      </c>
      <c r="E64" s="35">
        <v>23000</v>
      </c>
      <c r="F64" s="147">
        <f>((C64+D64+E64)/3)*(1+Parâmetros!B17)</f>
        <v>25245.92885333333</v>
      </c>
      <c r="G64" s="147">
        <f>((D64+E64+F64)/3)*(1+Parâmetros!C17)</f>
        <v>24425.240941767108</v>
      </c>
      <c r="H64" s="147">
        <f>((E64+F64+G64)/3)*(1+Parâmetros!D17)</f>
        <v>25010.994271147065</v>
      </c>
      <c r="I64" s="147">
        <f>((F64+G64+H64)/3)*(1+Parâmetros!E17)</f>
        <v>25640.87632941164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</row>
    <row r="65" spans="1:177" ht="12.75">
      <c r="A65" s="129" t="s">
        <v>113</v>
      </c>
      <c r="B65" s="130" t="s">
        <v>114</v>
      </c>
      <c r="C65" s="192">
        <v>0</v>
      </c>
      <c r="D65" s="35"/>
      <c r="E65" s="35"/>
      <c r="F65" s="147">
        <f>((C65+D65+E65)/3)*(1+Parâmetros!C11)</f>
        <v>0</v>
      </c>
      <c r="G65" s="147">
        <f>((D65+E65+F65)/3)*(1+Parâmetros!D11)</f>
        <v>0</v>
      </c>
      <c r="H65" s="147">
        <f>((E65+F65+G65)/3)*(1+Parâmetros!E11)</f>
        <v>0</v>
      </c>
      <c r="I65" s="147">
        <f>((F65+G65+H65)/3)*(1+Parâmetros!F11)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</row>
    <row r="66" spans="1:177" ht="12.75">
      <c r="A66" s="129" t="s">
        <v>115</v>
      </c>
      <c r="B66" s="130" t="s">
        <v>116</v>
      </c>
      <c r="C66" s="192">
        <v>0</v>
      </c>
      <c r="D66" s="35"/>
      <c r="E66" s="35"/>
      <c r="F66" s="147">
        <f>((C66+D66+E66)/3)*(1+Parâmetros!C11)</f>
        <v>0</v>
      </c>
      <c r="G66" s="147">
        <f>((D66+E66+F66)/3)*(1+Parâmetros!D11)</f>
        <v>0</v>
      </c>
      <c r="H66" s="147">
        <f>((E66+F66+G66)/3)*(1+Parâmetros!E11)</f>
        <v>0</v>
      </c>
      <c r="I66" s="147">
        <f>((F66+G66+H66)/3)*(1+Parâmetros!F11)</f>
        <v>0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</row>
    <row r="67" spans="1:177" ht="25.5">
      <c r="A67" s="129" t="s">
        <v>248</v>
      </c>
      <c r="B67" s="130" t="s">
        <v>117</v>
      </c>
      <c r="C67" s="192">
        <v>216835.32</v>
      </c>
      <c r="D67" s="35">
        <v>554480.24</v>
      </c>
      <c r="E67" s="35">
        <v>275000</v>
      </c>
      <c r="F67" s="147">
        <f>((C67+D67+E67)/3)*(1+Parâmetros!B11)</f>
        <v>372767.35684266663</v>
      </c>
      <c r="G67" s="147">
        <f>((D67+E67+F67)/3)*(1+Parâmetros!C11)</f>
        <v>416137.9681871417</v>
      </c>
      <c r="H67" s="147">
        <f>((E67+F67+G67)/3)*(1+Parâmetros!D11)</f>
        <v>366160.7493644257</v>
      </c>
      <c r="I67" s="147">
        <f>((F67+G67+H67)/3)*(1+Parâmetros!E11)</f>
        <v>396572.68554202036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</row>
    <row r="68" spans="1:177" ht="12.75">
      <c r="A68" s="129" t="s">
        <v>249</v>
      </c>
      <c r="B68" s="130" t="s">
        <v>250</v>
      </c>
      <c r="C68" s="192"/>
      <c r="D68" s="35">
        <v>10905.05</v>
      </c>
      <c r="E68" s="35"/>
      <c r="F68" s="147">
        <f>((C68+D68+E68)/3)*(1+Parâmetros!B11)</f>
        <v>3885.105813333333</v>
      </c>
      <c r="G68" s="147">
        <f>((D68+E68+F68)/3)*(1+Parâmetros!C11)</f>
        <v>5119.365932188444</v>
      </c>
      <c r="H68" s="147">
        <f>((E68+F68+G68)/3)*(1+Parâmetros!D11)</f>
        <v>3099.039025750412</v>
      </c>
      <c r="I68" s="147">
        <f>((F68+G68+H68)/3)*(1+Parâmetros!E11)</f>
        <v>4155.538698136785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</row>
    <row r="69" spans="1:177" ht="12.75">
      <c r="A69" s="129" t="s">
        <v>253</v>
      </c>
      <c r="B69" s="130" t="s">
        <v>251</v>
      </c>
      <c r="C69" s="192"/>
      <c r="D69" s="35"/>
      <c r="E69" s="35"/>
      <c r="F69" s="147">
        <f>((C69+D69+E69)/3)*(1+Parâmetros!C11)</f>
        <v>0</v>
      </c>
      <c r="G69" s="147">
        <f>((D69+E69+F69)/3)*(1+Parâmetros!D11)</f>
        <v>0</v>
      </c>
      <c r="H69" s="147">
        <f>((E69+F69+G69)/3)*(1+Parâmetros!E11)</f>
        <v>0</v>
      </c>
      <c r="I69" s="147">
        <f>((F69+G69+H69)/3)*(1+Parâmetros!F11)</f>
        <v>0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</row>
    <row r="70" spans="1:177" ht="12.75">
      <c r="A70" s="129" t="s">
        <v>252</v>
      </c>
      <c r="B70" s="130" t="s">
        <v>254</v>
      </c>
      <c r="C70" s="192">
        <v>66360.82</v>
      </c>
      <c r="D70" s="35">
        <v>27157.9</v>
      </c>
      <c r="E70" s="35">
        <v>72000</v>
      </c>
      <c r="F70" s="147">
        <f>((C70+D70+E70)/3)*(1+Parâmetros!B11)</f>
        <v>58968.80264533334</v>
      </c>
      <c r="G70" s="147">
        <f>((D70+E70+F70)/3)*(1+Parâmetros!C11)</f>
        <v>54732.922675638045</v>
      </c>
      <c r="H70" s="147">
        <f>((E70+F70+G70)/3)*(1+Parâmetros!D11)</f>
        <v>63912.34379796765</v>
      </c>
      <c r="I70" s="147">
        <f>((F70+G70+H70)/3)*(1+Parâmetros!E11)</f>
        <v>60980.83039750241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</row>
    <row r="71" spans="1:177" ht="12.75">
      <c r="A71" s="129" t="s">
        <v>257</v>
      </c>
      <c r="B71" s="130" t="s">
        <v>255</v>
      </c>
      <c r="C71" s="192"/>
      <c r="D71" s="35"/>
      <c r="E71" s="35"/>
      <c r="F71" s="147">
        <f>((C71+D71+E71)/3)*(1+Parâmetros!C11)</f>
        <v>0</v>
      </c>
      <c r="G71" s="147">
        <f>((D71+E71+F71)/3)*(1+Parâmetros!D11)</f>
        <v>0</v>
      </c>
      <c r="H71" s="147">
        <f>((E71+F71+G71)/3)*(1+Parâmetros!E11)</f>
        <v>0</v>
      </c>
      <c r="I71" s="147">
        <f>((F71+G71+H71)/3)*(1+Parâmetros!F11)</f>
        <v>0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</row>
    <row r="72" spans="1:177" ht="12.75">
      <c r="A72" s="129" t="s">
        <v>256</v>
      </c>
      <c r="B72" s="130" t="s">
        <v>258</v>
      </c>
      <c r="C72" s="192"/>
      <c r="D72" s="35">
        <v>57142</v>
      </c>
      <c r="E72" s="35"/>
      <c r="F72" s="147">
        <f>((C72+D72+E72)/3)*(1+Parâmetros!B11)</f>
        <v>20357.789866666666</v>
      </c>
      <c r="G72" s="147">
        <f>((D72+E72+F72)/3)*(1+Parâmetros!C11)</f>
        <v>26825.26059918222</v>
      </c>
      <c r="H72" s="147">
        <f>((E72+F72+G72)/3)*(1+Parâmetros!D11)</f>
        <v>16238.833201996325</v>
      </c>
      <c r="I72" s="147">
        <f>((F72+G72+H72)/3)*(1+Parâmetros!E11)</f>
        <v>21774.846725960193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</row>
    <row r="73" spans="1:177" ht="12.75">
      <c r="A73" s="129" t="s">
        <v>118</v>
      </c>
      <c r="B73" s="130" t="s">
        <v>116</v>
      </c>
      <c r="C73" s="192">
        <v>9067.3</v>
      </c>
      <c r="D73" s="35">
        <v>27833.76</v>
      </c>
      <c r="E73" s="35">
        <v>15000</v>
      </c>
      <c r="F73" s="147">
        <f>((C73+D73+E73)/3)*(1+Parâmetros!B11)</f>
        <v>18490.617642666664</v>
      </c>
      <c r="G73" s="147">
        <f>((D73+E73+F73)/3)*(1+Parâmetros!C11)</f>
        <v>21226.411248048353</v>
      </c>
      <c r="H73" s="147">
        <f>((E73+F73+G73)/3)*(1+Parâmetros!D11)</f>
        <v>18831.777443221086</v>
      </c>
      <c r="I73" s="147">
        <f>((F73+G73+H73)/3)*(1+Parâmetros!E11)</f>
        <v>20101.756841318063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</row>
    <row r="74" spans="1:177" ht="12.75">
      <c r="A74" s="129" t="s">
        <v>119</v>
      </c>
      <c r="B74" s="130" t="s">
        <v>120</v>
      </c>
      <c r="C74" s="192"/>
      <c r="D74" s="35"/>
      <c r="E74" s="35"/>
      <c r="F74" s="147">
        <f>((C74+D74+E74)/3)*(1+Parâmetros!C11)</f>
        <v>0</v>
      </c>
      <c r="G74" s="147">
        <f>((D74+E74+F74)/3)*(1+Parâmetros!D11)</f>
        <v>0</v>
      </c>
      <c r="H74" s="147">
        <f>((E74+F74+G74)/3)*(1+Parâmetros!E11)</f>
        <v>0</v>
      </c>
      <c r="I74" s="147">
        <f>((F74+G74+H74)/3)*(1+Parâmetros!F11)</f>
        <v>0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</row>
    <row r="75" spans="1:177" ht="12.75">
      <c r="A75" s="129" t="s">
        <v>121</v>
      </c>
      <c r="B75" s="130" t="s">
        <v>122</v>
      </c>
      <c r="C75" s="192">
        <v>87900</v>
      </c>
      <c r="D75" s="35">
        <v>92346.3</v>
      </c>
      <c r="E75" s="35">
        <v>87000</v>
      </c>
      <c r="F75" s="147">
        <f>((C75+D75+E75)/3)*(1+Parâmetros!B11)</f>
        <v>95210.94847999999</v>
      </c>
      <c r="G75" s="147">
        <f>((D75+E75+F75)/3)*(1+Parâmetros!C11)</f>
        <v>95033.41560721064</v>
      </c>
      <c r="H75" s="147">
        <f>((E75+F75+G75)/3)*(1+Parâmetros!D11)</f>
        <v>95418.26864001498</v>
      </c>
      <c r="I75" s="147">
        <f>((F75+G75+H75)/3)*(1+Parâmetros!E11)</f>
        <v>98077.50390301412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</row>
    <row r="76" spans="1:177" s="69" customFormat="1" ht="12.75">
      <c r="A76" s="127" t="s">
        <v>189</v>
      </c>
      <c r="B76" s="128" t="s">
        <v>429</v>
      </c>
      <c r="C76" s="192">
        <v>16203480.81</v>
      </c>
      <c r="D76" s="194">
        <v>16891045.41</v>
      </c>
      <c r="E76" s="35">
        <f>((10978738.8/6)*12)</f>
        <v>21957477.6</v>
      </c>
      <c r="F76" s="147">
        <f>((C76+D76+E76)/3)*(1+Parâmetros!B11)</f>
        <v>19613193.894272</v>
      </c>
      <c r="G76" s="147">
        <f>((D76+E76+F76)/3)*(1+Parâmetros!C11)</f>
        <v>20235548.94446535</v>
      </c>
      <c r="H76" s="147">
        <f>((E76+F76+G76)/3)*(1+Parâmetros!D11)</f>
        <v>21271640.867665436</v>
      </c>
      <c r="I76" s="147">
        <f>((F76+G76+H76)/3)*(1+Parâmetros!E11)</f>
        <v>20984665.072531626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</row>
    <row r="77" spans="1:177" ht="12.75">
      <c r="A77" s="129" t="s">
        <v>124</v>
      </c>
      <c r="B77" s="130" t="s">
        <v>125</v>
      </c>
      <c r="C77" s="35"/>
      <c r="D77" s="35"/>
      <c r="E77" s="35"/>
      <c r="F77" s="147">
        <f>((C77+D77+E77)/3)*(1+Parâmetros!C11)</f>
        <v>0</v>
      </c>
      <c r="G77" s="147">
        <f>((D77+E77+F77)/3)*(1+Parâmetros!D11)</f>
        <v>0</v>
      </c>
      <c r="H77" s="147">
        <f>((E77+F77+G77)/3)*(1+Parâmetros!E11)</f>
        <v>0</v>
      </c>
      <c r="I77" s="147">
        <f>((F77+G77+H77)/3)*(1+Parâmetros!F11)</f>
        <v>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</row>
    <row r="78" spans="1:177" ht="12.75">
      <c r="A78" s="129" t="s">
        <v>126</v>
      </c>
      <c r="B78" s="130" t="s">
        <v>127</v>
      </c>
      <c r="C78" s="192">
        <f>103833.82+11.62</f>
        <v>103845.44</v>
      </c>
      <c r="D78" s="35">
        <v>75547.35</v>
      </c>
      <c r="E78" s="35">
        <v>80000</v>
      </c>
      <c r="F78" s="147">
        <f>((C78+D78+E78)/3)*(1+Parâmetros!B11)</f>
        <v>92413.00465066667</v>
      </c>
      <c r="G78" s="147">
        <f>((D78+E78+F78)/3)*(1+Parâmetros!C11)</f>
        <v>85827.34408975075</v>
      </c>
      <c r="H78" s="147">
        <f>((E78+F78+G78)/3)*(1+Parâmetros!D11)</f>
        <v>88877.720024827</v>
      </c>
      <c r="I78" s="147">
        <f>((F78+G78+H78)/3)*(1+Parâmetros!E11)</f>
        <v>91710.53694273393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</row>
    <row r="79" spans="1:177" s="7" customFormat="1" ht="12.75">
      <c r="A79" s="127" t="s">
        <v>128</v>
      </c>
      <c r="B79" s="128" t="s">
        <v>129</v>
      </c>
      <c r="C79" s="146">
        <f aca="true" t="shared" si="11" ref="C79:I79">C80+C81+C85</f>
        <v>325274.08999999997</v>
      </c>
      <c r="D79" s="146">
        <f t="shared" si="11"/>
        <v>311292.77</v>
      </c>
      <c r="E79" s="146">
        <f t="shared" si="11"/>
        <v>346200</v>
      </c>
      <c r="F79" s="146">
        <f t="shared" si="11"/>
        <v>347833.19704</v>
      </c>
      <c r="G79" s="146">
        <f t="shared" si="11"/>
        <v>347501.3057490601</v>
      </c>
      <c r="H79" s="146">
        <f t="shared" si="11"/>
        <v>358259.06605266256</v>
      </c>
      <c r="I79" s="146">
        <f t="shared" si="11"/>
        <v>361733.79196899146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</row>
    <row r="80" spans="1:177" ht="12.75">
      <c r="A80" s="129" t="s">
        <v>130</v>
      </c>
      <c r="B80" s="130" t="s">
        <v>131</v>
      </c>
      <c r="C80" s="192">
        <v>80505.87</v>
      </c>
      <c r="D80" s="35">
        <v>39422.35</v>
      </c>
      <c r="E80" s="35">
        <v>33000</v>
      </c>
      <c r="F80" s="147">
        <f>((C80+D80+E80)/3)*(1+Parâmetros!B11)</f>
        <v>54483.22717866667</v>
      </c>
      <c r="G80" s="147">
        <f>((D80+E80+F80)/3)*(1+Parâmetros!C11)</f>
        <v>43926.25044744249</v>
      </c>
      <c r="H80" s="147">
        <f>((E80+F80+G80)/3)*(1+Parâmetros!D11)</f>
        <v>45226.7618829859</v>
      </c>
      <c r="I80" s="147">
        <f>((F80+G80+H80)/3)*(1+Parâmetros!E11)</f>
        <v>49315.10889812264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</row>
    <row r="81" spans="1:177" ht="12.75">
      <c r="A81" s="127" t="s">
        <v>132</v>
      </c>
      <c r="B81" s="128" t="s">
        <v>133</v>
      </c>
      <c r="C81" s="146">
        <f aca="true" t="shared" si="12" ref="C81:I81">C82+C84+C83</f>
        <v>62932.35</v>
      </c>
      <c r="D81" s="146">
        <f t="shared" si="12"/>
        <v>82137.02</v>
      </c>
      <c r="E81" s="146">
        <f t="shared" si="12"/>
        <v>81300</v>
      </c>
      <c r="F81" s="146">
        <f t="shared" si="12"/>
        <v>78353.98460266665</v>
      </c>
      <c r="G81" s="146">
        <f t="shared" si="12"/>
        <v>83216.40408408444</v>
      </c>
      <c r="H81" s="146">
        <f t="shared" si="12"/>
        <v>83385.50011578454</v>
      </c>
      <c r="I81" s="146">
        <f t="shared" si="12"/>
        <v>84101.5218222039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</row>
    <row r="82" spans="1:177" ht="12.75">
      <c r="A82" s="129" t="s">
        <v>205</v>
      </c>
      <c r="B82" s="130" t="s">
        <v>206</v>
      </c>
      <c r="C82" s="35"/>
      <c r="D82" s="35"/>
      <c r="E82" s="35"/>
      <c r="F82" s="147">
        <f>((C82+D82+E82)/3)*(1+Parâmetros!C11)</f>
        <v>0</v>
      </c>
      <c r="G82" s="147">
        <f>((D82+E82+F82)/3)*(1+Parâmetros!D11)</f>
        <v>0</v>
      </c>
      <c r="H82" s="147">
        <f>((E82+F82+G82)/3)*(1+Parâmetros!E11)</f>
        <v>0</v>
      </c>
      <c r="I82" s="147">
        <f>((F82+G82+H82)/3)*(1+Parâmetros!F11)</f>
        <v>0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</row>
    <row r="83" spans="1:177" ht="12.75">
      <c r="A83" s="129" t="s">
        <v>207</v>
      </c>
      <c r="B83" s="232" t="s">
        <v>445</v>
      </c>
      <c r="C83" s="35">
        <v>1271.3</v>
      </c>
      <c r="D83" s="35">
        <v>690.51</v>
      </c>
      <c r="E83" s="35">
        <v>16000</v>
      </c>
      <c r="F83" s="147">
        <f>((C83+D83+E83)/3)*(1+Parâmetros!C11)</f>
        <v>6217.181168</v>
      </c>
      <c r="G83" s="147">
        <f>((D83+E83+F83)/3)*(1+Parâmetros!D11)</f>
        <v>7884.063710319999</v>
      </c>
      <c r="H83" s="147">
        <f>((E83+F83+G83)/3)*(1+Parâmetros!E11)</f>
        <v>10334.760741556533</v>
      </c>
      <c r="I83" s="147">
        <f>((F83+G83+H83)/3)*(1+Parâmetros!F11)</f>
        <v>8389.695262824276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</row>
    <row r="84" spans="1:177" ht="12.75">
      <c r="A84" s="129" t="s">
        <v>207</v>
      </c>
      <c r="B84" s="130" t="s">
        <v>208</v>
      </c>
      <c r="C84" s="192">
        <f>62932.35-C83</f>
        <v>61661.049999999996</v>
      </c>
      <c r="D84" s="35">
        <f>82137.02-D83</f>
        <v>81446.51000000001</v>
      </c>
      <c r="E84" s="35">
        <f>81300-E83</f>
        <v>65300</v>
      </c>
      <c r="F84" s="147">
        <f>((C84+D84+E84)/3)*(1+Parâmetros!C11)</f>
        <v>72136.80343466665</v>
      </c>
      <c r="G84" s="147">
        <f>((D84+E84+F84)/3)*(1+Parâmetros!D11)</f>
        <v>75332.34037376444</v>
      </c>
      <c r="H84" s="147">
        <f>((E84+F84+G84)/3)*(1+Parâmetros!E11)</f>
        <v>73050.73937422801</v>
      </c>
      <c r="I84" s="147">
        <f>((F84+G84+H84)/3)*(1+Parâmetros!F11)</f>
        <v>75711.82655937962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</row>
    <row r="85" spans="1:177" s="7" customFormat="1" ht="12.75">
      <c r="A85" s="127" t="s">
        <v>134</v>
      </c>
      <c r="B85" s="128" t="s">
        <v>135</v>
      </c>
      <c r="C85" s="146">
        <f aca="true" t="shared" si="13" ref="C85:I85">C86+C87+C88+C89+C90+C91</f>
        <v>181835.87</v>
      </c>
      <c r="D85" s="146">
        <f t="shared" si="13"/>
        <v>189733.4</v>
      </c>
      <c r="E85" s="146">
        <f t="shared" si="13"/>
        <v>231900</v>
      </c>
      <c r="F85" s="146">
        <f t="shared" si="13"/>
        <v>214995.98525866668</v>
      </c>
      <c r="G85" s="146">
        <f t="shared" si="13"/>
        <v>220358.6512175332</v>
      </c>
      <c r="H85" s="146">
        <f t="shared" si="13"/>
        <v>229646.80405389212</v>
      </c>
      <c r="I85" s="146">
        <f t="shared" si="13"/>
        <v>228317.16124866492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</row>
    <row r="86" spans="1:177" ht="25.5">
      <c r="A86" s="129" t="s">
        <v>136</v>
      </c>
      <c r="B86" s="130" t="s">
        <v>137</v>
      </c>
      <c r="C86" s="192">
        <v>148038.28</v>
      </c>
      <c r="D86" s="35">
        <v>154554</v>
      </c>
      <c r="E86" s="35">
        <v>160000</v>
      </c>
      <c r="F86" s="147">
        <f>((C86+D86+E86)/3)*(1+Parâmetros!B11)</f>
        <v>164806.20962133334</v>
      </c>
      <c r="G86" s="147">
        <f>((D86+E86+F86)/3)*(1+Parâmetros!C11)</f>
        <v>165922.54722359753</v>
      </c>
      <c r="H86" s="147">
        <f>((E86+F86+G86)/3)*(1+Parâmetros!D11)</f>
        <v>168892.48048079704</v>
      </c>
      <c r="I86" s="147">
        <f>((F86+G86+H86)/3)*(1+Parâmetros!E11)</f>
        <v>171536.6248151666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</row>
    <row r="87" spans="1:177" ht="12.75">
      <c r="A87" s="129" t="s">
        <v>138</v>
      </c>
      <c r="B87" s="130" t="s">
        <v>139</v>
      </c>
      <c r="C87" s="192">
        <v>0</v>
      </c>
      <c r="D87" s="35"/>
      <c r="E87" s="35"/>
      <c r="F87" s="147">
        <f>((C87+D87+E87)/3)*(1+Parâmetros!C11)</f>
        <v>0</v>
      </c>
      <c r="G87" s="147">
        <f>((D87+E87+F87)/3)*(1+Parâmetros!D11)</f>
        <v>0</v>
      </c>
      <c r="H87" s="147">
        <f>((E87+F87+G87)/3)*(1+Parâmetros!E11)</f>
        <v>0</v>
      </c>
      <c r="I87" s="147">
        <f>((F87+G87+H87)/3)*(1+Parâmetros!F11)</f>
        <v>0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</row>
    <row r="88" spans="1:177" ht="12.75">
      <c r="A88" s="129" t="s">
        <v>209</v>
      </c>
      <c r="B88" s="130" t="s">
        <v>210</v>
      </c>
      <c r="C88" s="192">
        <v>0</v>
      </c>
      <c r="D88" s="35"/>
      <c r="E88" s="35"/>
      <c r="F88" s="147">
        <f>((C88+D88+E88)/3)*(1+Parâmetros!C11)</f>
        <v>0</v>
      </c>
      <c r="G88" s="147">
        <f>((D88+E88+F88)/3)*(1+Parâmetros!D11)</f>
        <v>0</v>
      </c>
      <c r="H88" s="147">
        <f>((E88+F88+G88)/3)*(1+Parâmetros!E11)</f>
        <v>0</v>
      </c>
      <c r="I88" s="147">
        <f>((F88+G88+H88)/3)*(1+Parâmetros!F11)</f>
        <v>0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</row>
    <row r="89" spans="1:177" ht="25.5">
      <c r="A89" s="129" t="s">
        <v>140</v>
      </c>
      <c r="B89" s="130" t="s">
        <v>141</v>
      </c>
      <c r="C89" s="192">
        <v>32808.89</v>
      </c>
      <c r="D89" s="35">
        <v>33514.1</v>
      </c>
      <c r="E89" s="35">
        <v>38200</v>
      </c>
      <c r="F89" s="147">
        <f>((C89+D89+E89)/3)*(1+Parâmetros!B11)</f>
        <v>37238.057237333334</v>
      </c>
      <c r="G89" s="147">
        <f>((D89+E89+F89)/3)*(1+Parâmetros!C11)</f>
        <v>37711.97335841564</v>
      </c>
      <c r="H89" s="147">
        <f>((E89+F89+G89)/3)*(1+Parâmetros!D11)</f>
        <v>38942.468863370275</v>
      </c>
      <c r="I89" s="147">
        <f>((F89+G89+H89)/3)*(1+Parâmetros!E11)</f>
        <v>39103.09148096428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</row>
    <row r="90" spans="1:177" ht="12.75">
      <c r="A90" s="129" t="s">
        <v>211</v>
      </c>
      <c r="B90" s="130" t="s">
        <v>212</v>
      </c>
      <c r="C90" s="192">
        <v>0</v>
      </c>
      <c r="D90" s="35"/>
      <c r="E90" s="35"/>
      <c r="F90" s="147">
        <f>((C90+D90+E90)/3)*(1+Parâmetros!C11)</f>
        <v>0</v>
      </c>
      <c r="G90" s="147">
        <f>((D90+E90+F90)/3)*(1+Parâmetros!D11)</f>
        <v>0</v>
      </c>
      <c r="H90" s="147">
        <f>((E90+F90+G90)/3)*(1+Parâmetros!E11)</f>
        <v>0</v>
      </c>
      <c r="I90" s="147">
        <f>((F90+G90+H90)/3)*(1+Parâmetros!F11)</f>
        <v>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</row>
    <row r="91" spans="1:177" ht="12.75">
      <c r="A91" s="129" t="s">
        <v>142</v>
      </c>
      <c r="B91" s="130" t="s">
        <v>213</v>
      </c>
      <c r="C91" s="192">
        <v>988.7</v>
      </c>
      <c r="D91" s="35">
        <f>90.74+1574.56</f>
        <v>1665.3</v>
      </c>
      <c r="E91" s="35">
        <v>33700</v>
      </c>
      <c r="F91" s="147">
        <f>((C91+D91+E91)/3)*(1+Parâmetros!B11)</f>
        <v>12951.7184</v>
      </c>
      <c r="G91" s="147">
        <f>((D91+E91+F91)/3)*(1+Parâmetros!C11)</f>
        <v>16724.13063552</v>
      </c>
      <c r="H91" s="147">
        <f>((E91+F91+G91)/3)*(1+Parâmetros!D11)</f>
        <v>21811.854709724797</v>
      </c>
      <c r="I91" s="147">
        <f>((F91+G91+H91)/3)*(1+Parâmetros!E11)</f>
        <v>17677.44495253405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</row>
    <row r="92" spans="1:177" s="10" customFormat="1" ht="18">
      <c r="A92" s="127" t="s">
        <v>143</v>
      </c>
      <c r="B92" s="128" t="s">
        <v>144</v>
      </c>
      <c r="C92" s="146">
        <f aca="true" t="shared" si="14" ref="C92:I92">C93+C94+C99+C100+C117</f>
        <v>1460435.32</v>
      </c>
      <c r="D92" s="146">
        <f t="shared" si="14"/>
        <v>1067481.15</v>
      </c>
      <c r="E92" s="146">
        <f t="shared" si="14"/>
        <v>518000</v>
      </c>
      <c r="F92" s="146">
        <f t="shared" si="14"/>
        <v>1015305.49</v>
      </c>
      <c r="G92" s="146">
        <f t="shared" si="14"/>
        <v>866928.8799999999</v>
      </c>
      <c r="H92" s="146">
        <f t="shared" si="14"/>
        <v>800078.1233333333</v>
      </c>
      <c r="I92" s="146">
        <f t="shared" si="14"/>
        <v>894104.1644444445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</row>
    <row r="93" spans="1:9" s="36" customFormat="1" ht="12.75">
      <c r="A93" s="129" t="s">
        <v>145</v>
      </c>
      <c r="B93" s="130" t="s">
        <v>146</v>
      </c>
      <c r="C93" s="35"/>
      <c r="D93" s="35">
        <v>33250.17</v>
      </c>
      <c r="E93" s="35"/>
      <c r="F93" s="147">
        <f>((C93+D93+E93)/3)</f>
        <v>11083.39</v>
      </c>
      <c r="G93" s="147">
        <f>((D93+E93+F93)/3)</f>
        <v>14777.853333333333</v>
      </c>
      <c r="H93" s="147">
        <f>((E93+F93+G93)/3)</f>
        <v>8620.414444444445</v>
      </c>
      <c r="I93" s="147">
        <f>((F93+G93+H93)/3)</f>
        <v>11493.885925925926</v>
      </c>
    </row>
    <row r="94" spans="1:177" s="7" customFormat="1" ht="12.75">
      <c r="A94" s="127" t="s">
        <v>147</v>
      </c>
      <c r="B94" s="128" t="s">
        <v>148</v>
      </c>
      <c r="C94" s="146">
        <f aca="true" t="shared" si="15" ref="C94:I94">C95+C96+C97+C98</f>
        <v>174179.81</v>
      </c>
      <c r="D94" s="146">
        <f t="shared" si="15"/>
        <v>223420.99</v>
      </c>
      <c r="E94" s="146">
        <f t="shared" si="15"/>
        <v>22000</v>
      </c>
      <c r="F94" s="146">
        <f t="shared" si="15"/>
        <v>139866.93333333335</v>
      </c>
      <c r="G94" s="146">
        <f t="shared" si="15"/>
        <v>128429.30777777778</v>
      </c>
      <c r="H94" s="146">
        <f t="shared" si="15"/>
        <v>96765.41370370371</v>
      </c>
      <c r="I94" s="146">
        <f t="shared" si="15"/>
        <v>121687.21827160496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</row>
    <row r="95" spans="1:177" s="7" customFormat="1" ht="12.75">
      <c r="A95" s="129" t="s">
        <v>214</v>
      </c>
      <c r="B95" s="130" t="s">
        <v>215</v>
      </c>
      <c r="C95" s="35"/>
      <c r="D95" s="35"/>
      <c r="E95" s="35"/>
      <c r="F95" s="147">
        <f aca="true" t="shared" si="16" ref="F95:I99">((C95+D95+E95)/3)</f>
        <v>0</v>
      </c>
      <c r="G95" s="147">
        <f t="shared" si="16"/>
        <v>0</v>
      </c>
      <c r="H95" s="147">
        <f t="shared" si="16"/>
        <v>0</v>
      </c>
      <c r="I95" s="147">
        <f t="shared" si="16"/>
        <v>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</row>
    <row r="96" spans="1:177" s="7" customFormat="1" ht="12.75">
      <c r="A96" s="129" t="s">
        <v>216</v>
      </c>
      <c r="B96" s="130" t="s">
        <v>217</v>
      </c>
      <c r="C96" s="58"/>
      <c r="D96" s="58"/>
      <c r="E96" s="58"/>
      <c r="F96" s="147">
        <f t="shared" si="16"/>
        <v>0</v>
      </c>
      <c r="G96" s="147">
        <f t="shared" si="16"/>
        <v>0</v>
      </c>
      <c r="H96" s="147">
        <f t="shared" si="16"/>
        <v>0</v>
      </c>
      <c r="I96" s="147">
        <f t="shared" si="16"/>
        <v>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</row>
    <row r="97" spans="1:9" s="36" customFormat="1" ht="12.75">
      <c r="A97" s="129" t="s">
        <v>149</v>
      </c>
      <c r="B97" s="130" t="s">
        <v>150</v>
      </c>
      <c r="C97" s="192">
        <v>150120</v>
      </c>
      <c r="D97" s="35">
        <v>201600</v>
      </c>
      <c r="E97" s="35"/>
      <c r="F97" s="147">
        <f t="shared" si="16"/>
        <v>117240</v>
      </c>
      <c r="G97" s="147">
        <f t="shared" si="16"/>
        <v>106280</v>
      </c>
      <c r="H97" s="147">
        <f t="shared" si="16"/>
        <v>74506.66666666667</v>
      </c>
      <c r="I97" s="147">
        <f t="shared" si="16"/>
        <v>99342.22222222223</v>
      </c>
    </row>
    <row r="98" spans="1:9" s="36" customFormat="1" ht="12.75">
      <c r="A98" s="129" t="s">
        <v>151</v>
      </c>
      <c r="B98" s="130" t="s">
        <v>152</v>
      </c>
      <c r="C98" s="192">
        <v>24059.81</v>
      </c>
      <c r="D98" s="35">
        <v>21820.99</v>
      </c>
      <c r="E98" s="35">
        <v>22000</v>
      </c>
      <c r="F98" s="147">
        <f t="shared" si="16"/>
        <v>22626.933333333334</v>
      </c>
      <c r="G98" s="147">
        <f t="shared" si="16"/>
        <v>22149.30777777778</v>
      </c>
      <c r="H98" s="147">
        <f t="shared" si="16"/>
        <v>22258.74703703704</v>
      </c>
      <c r="I98" s="147">
        <f t="shared" si="16"/>
        <v>22344.99604938272</v>
      </c>
    </row>
    <row r="99" spans="1:9" s="36" customFormat="1" ht="12.75">
      <c r="A99" s="129" t="s">
        <v>153</v>
      </c>
      <c r="B99" s="130" t="s">
        <v>154</v>
      </c>
      <c r="C99" s="192">
        <v>26293.2</v>
      </c>
      <c r="D99" s="35">
        <v>12952.85</v>
      </c>
      <c r="E99" s="35">
        <v>16000</v>
      </c>
      <c r="F99" s="147">
        <f t="shared" si="16"/>
        <v>18415.350000000002</v>
      </c>
      <c r="G99" s="147">
        <f t="shared" si="16"/>
        <v>15789.4</v>
      </c>
      <c r="H99" s="147">
        <f t="shared" si="16"/>
        <v>16734.916666666668</v>
      </c>
      <c r="I99" s="147">
        <f t="shared" si="16"/>
        <v>16979.88888888889</v>
      </c>
    </row>
    <row r="100" spans="1:177" s="7" customFormat="1" ht="12.75">
      <c r="A100" s="127" t="s">
        <v>155</v>
      </c>
      <c r="B100" s="128" t="s">
        <v>156</v>
      </c>
      <c r="C100" s="146">
        <f aca="true" t="shared" si="17" ref="C100:I100">SUM(C101:C116)</f>
        <v>1259962.31</v>
      </c>
      <c r="D100" s="146">
        <f t="shared" si="17"/>
        <v>797857.14</v>
      </c>
      <c r="E100" s="146">
        <f t="shared" si="17"/>
        <v>480000</v>
      </c>
      <c r="F100" s="146">
        <f t="shared" si="17"/>
        <v>845939.8166666667</v>
      </c>
      <c r="G100" s="146">
        <f t="shared" si="17"/>
        <v>707932.3188888888</v>
      </c>
      <c r="H100" s="146">
        <f t="shared" si="17"/>
        <v>677957.3785185185</v>
      </c>
      <c r="I100" s="146">
        <f t="shared" si="17"/>
        <v>743943.1713580247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</row>
    <row r="101" spans="1:177" ht="12.75">
      <c r="A101" s="129" t="s">
        <v>260</v>
      </c>
      <c r="B101" s="130" t="s">
        <v>272</v>
      </c>
      <c r="C101" s="35"/>
      <c r="D101" s="35"/>
      <c r="E101" s="35"/>
      <c r="F101" s="147">
        <f>((C101+D101+E101)/3)</f>
        <v>0</v>
      </c>
      <c r="G101" s="147">
        <f aca="true" t="shared" si="18" ref="G101:I116">((D101+E101+F101)/3)</f>
        <v>0</v>
      </c>
      <c r="H101" s="147">
        <f t="shared" si="18"/>
        <v>0</v>
      </c>
      <c r="I101" s="147">
        <f t="shared" si="18"/>
        <v>0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</row>
    <row r="102" spans="1:177" ht="12.75">
      <c r="A102" s="129" t="s">
        <v>261</v>
      </c>
      <c r="B102" s="130" t="s">
        <v>262</v>
      </c>
      <c r="C102" s="35"/>
      <c r="D102" s="35"/>
      <c r="E102" s="35"/>
      <c r="F102" s="147">
        <f aca="true" t="shared" si="19" ref="F102:F116">((C102+D102+E102)/3)</f>
        <v>0</v>
      </c>
      <c r="G102" s="147">
        <f t="shared" si="18"/>
        <v>0</v>
      </c>
      <c r="H102" s="147">
        <f t="shared" si="18"/>
        <v>0</v>
      </c>
      <c r="I102" s="147">
        <f t="shared" si="18"/>
        <v>0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</row>
    <row r="103" spans="1:177" ht="12.75">
      <c r="A103" s="129" t="s">
        <v>263</v>
      </c>
      <c r="B103" s="130" t="s">
        <v>264</v>
      </c>
      <c r="C103" s="35"/>
      <c r="D103" s="35"/>
      <c r="E103" s="35"/>
      <c r="F103" s="147">
        <f t="shared" si="19"/>
        <v>0</v>
      </c>
      <c r="G103" s="147">
        <f t="shared" si="18"/>
        <v>0</v>
      </c>
      <c r="H103" s="147">
        <f t="shared" si="18"/>
        <v>0</v>
      </c>
      <c r="I103" s="147">
        <f t="shared" si="18"/>
        <v>0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</row>
    <row r="104" spans="1:177" ht="12.75">
      <c r="A104" s="129" t="s">
        <v>265</v>
      </c>
      <c r="B104" s="130" t="s">
        <v>266</v>
      </c>
      <c r="C104" s="35">
        <v>245000</v>
      </c>
      <c r="D104" s="35">
        <v>222857.14</v>
      </c>
      <c r="E104" s="35">
        <v>240000</v>
      </c>
      <c r="F104" s="147">
        <f t="shared" si="19"/>
        <v>235952.38</v>
      </c>
      <c r="G104" s="147">
        <f t="shared" si="18"/>
        <v>232936.50666666668</v>
      </c>
      <c r="H104" s="147">
        <f t="shared" si="18"/>
        <v>236296.29555555558</v>
      </c>
      <c r="I104" s="147">
        <f t="shared" si="18"/>
        <v>235061.72740740745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</row>
    <row r="105" spans="1:177" ht="12.75">
      <c r="A105" s="129" t="s">
        <v>267</v>
      </c>
      <c r="B105" s="130" t="s">
        <v>268</v>
      </c>
      <c r="C105" s="35">
        <v>1014962.31</v>
      </c>
      <c r="D105" s="35">
        <v>575000</v>
      </c>
      <c r="E105" s="35">
        <v>240000</v>
      </c>
      <c r="F105" s="147">
        <f t="shared" si="19"/>
        <v>609987.4366666666</v>
      </c>
      <c r="G105" s="147">
        <f t="shared" si="18"/>
        <v>474995.81222222216</v>
      </c>
      <c r="H105" s="147">
        <f t="shared" si="18"/>
        <v>441661.082962963</v>
      </c>
      <c r="I105" s="147">
        <f t="shared" si="18"/>
        <v>508881.4439506173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</row>
    <row r="106" spans="1:177" ht="12.75">
      <c r="A106" s="129" t="s">
        <v>269</v>
      </c>
      <c r="B106" s="130" t="s">
        <v>270</v>
      </c>
      <c r="C106" s="35"/>
      <c r="D106" s="35"/>
      <c r="E106" s="35"/>
      <c r="F106" s="147">
        <f t="shared" si="19"/>
        <v>0</v>
      </c>
      <c r="G106" s="147">
        <f t="shared" si="18"/>
        <v>0</v>
      </c>
      <c r="H106" s="147">
        <f t="shared" si="18"/>
        <v>0</v>
      </c>
      <c r="I106" s="147">
        <f t="shared" si="18"/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</row>
    <row r="107" spans="1:177" ht="12.75">
      <c r="A107" s="129" t="s">
        <v>273</v>
      </c>
      <c r="B107" s="130" t="s">
        <v>275</v>
      </c>
      <c r="C107" s="35"/>
      <c r="D107" s="35"/>
      <c r="E107" s="35"/>
      <c r="F107" s="147">
        <f t="shared" si="19"/>
        <v>0</v>
      </c>
      <c r="G107" s="147">
        <f t="shared" si="18"/>
        <v>0</v>
      </c>
      <c r="H107" s="147">
        <f t="shared" si="18"/>
        <v>0</v>
      </c>
      <c r="I107" s="147">
        <f t="shared" si="18"/>
        <v>0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</row>
    <row r="108" spans="1:177" ht="12.75">
      <c r="A108" s="129" t="s">
        <v>274</v>
      </c>
      <c r="B108" s="130" t="s">
        <v>276</v>
      </c>
      <c r="C108" s="35"/>
      <c r="D108" s="35"/>
      <c r="E108" s="35"/>
      <c r="F108" s="147">
        <f t="shared" si="19"/>
        <v>0</v>
      </c>
      <c r="G108" s="147">
        <f t="shared" si="18"/>
        <v>0</v>
      </c>
      <c r="H108" s="147">
        <f t="shared" si="18"/>
        <v>0</v>
      </c>
      <c r="I108" s="147">
        <f t="shared" si="18"/>
        <v>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</row>
    <row r="109" spans="1:177" ht="12.75">
      <c r="A109" s="129" t="s">
        <v>277</v>
      </c>
      <c r="B109" s="130" t="s">
        <v>278</v>
      </c>
      <c r="C109" s="35"/>
      <c r="D109" s="35"/>
      <c r="E109" s="35"/>
      <c r="F109" s="147">
        <f t="shared" si="19"/>
        <v>0</v>
      </c>
      <c r="G109" s="147">
        <f t="shared" si="18"/>
        <v>0</v>
      </c>
      <c r="H109" s="147">
        <f t="shared" si="18"/>
        <v>0</v>
      </c>
      <c r="I109" s="147">
        <f t="shared" si="18"/>
        <v>0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</row>
    <row r="110" spans="1:177" ht="12.75">
      <c r="A110" s="129" t="s">
        <v>279</v>
      </c>
      <c r="B110" s="130" t="s">
        <v>280</v>
      </c>
      <c r="C110" s="35"/>
      <c r="D110" s="35"/>
      <c r="E110" s="35"/>
      <c r="F110" s="147">
        <f t="shared" si="19"/>
        <v>0</v>
      </c>
      <c r="G110" s="147">
        <f t="shared" si="18"/>
        <v>0</v>
      </c>
      <c r="H110" s="147">
        <f t="shared" si="18"/>
        <v>0</v>
      </c>
      <c r="I110" s="147">
        <f t="shared" si="18"/>
        <v>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</row>
    <row r="111" spans="1:177" ht="12.75">
      <c r="A111" s="129" t="s">
        <v>281</v>
      </c>
      <c r="B111" s="130" t="s">
        <v>282</v>
      </c>
      <c r="C111" s="35"/>
      <c r="D111" s="35"/>
      <c r="E111" s="35"/>
      <c r="F111" s="147">
        <f t="shared" si="19"/>
        <v>0</v>
      </c>
      <c r="G111" s="147">
        <f t="shared" si="18"/>
        <v>0</v>
      </c>
      <c r="H111" s="147">
        <f t="shared" si="18"/>
        <v>0</v>
      </c>
      <c r="I111" s="147">
        <f t="shared" si="18"/>
        <v>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</row>
    <row r="112" spans="1:177" ht="12.75">
      <c r="A112" s="129" t="s">
        <v>157</v>
      </c>
      <c r="B112" s="130" t="s">
        <v>120</v>
      </c>
      <c r="C112" s="35"/>
      <c r="D112" s="35"/>
      <c r="E112" s="35"/>
      <c r="F112" s="147">
        <f t="shared" si="19"/>
        <v>0</v>
      </c>
      <c r="G112" s="147">
        <f t="shared" si="18"/>
        <v>0</v>
      </c>
      <c r="H112" s="147">
        <f t="shared" si="18"/>
        <v>0</v>
      </c>
      <c r="I112" s="147">
        <f t="shared" si="18"/>
        <v>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</row>
    <row r="113" spans="1:177" ht="12.75">
      <c r="A113" s="129" t="s">
        <v>158</v>
      </c>
      <c r="B113" s="130" t="s">
        <v>122</v>
      </c>
      <c r="C113" s="35"/>
      <c r="D113" s="35"/>
      <c r="E113" s="35"/>
      <c r="F113" s="147">
        <f t="shared" si="19"/>
        <v>0</v>
      </c>
      <c r="G113" s="147">
        <f t="shared" si="18"/>
        <v>0</v>
      </c>
      <c r="H113" s="147">
        <f t="shared" si="18"/>
        <v>0</v>
      </c>
      <c r="I113" s="147">
        <f t="shared" si="18"/>
        <v>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</row>
    <row r="114" spans="1:177" ht="12.75">
      <c r="A114" s="129" t="s">
        <v>159</v>
      </c>
      <c r="B114" s="130" t="s">
        <v>123</v>
      </c>
      <c r="C114" s="35"/>
      <c r="D114" s="35"/>
      <c r="E114" s="35"/>
      <c r="F114" s="147">
        <f t="shared" si="19"/>
        <v>0</v>
      </c>
      <c r="G114" s="147">
        <f t="shared" si="18"/>
        <v>0</v>
      </c>
      <c r="H114" s="147">
        <f t="shared" si="18"/>
        <v>0</v>
      </c>
      <c r="I114" s="147">
        <f t="shared" si="18"/>
        <v>0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</row>
    <row r="115" spans="1:177" ht="12.75">
      <c r="A115" s="129" t="s">
        <v>160</v>
      </c>
      <c r="B115" s="130" t="s">
        <v>125</v>
      </c>
      <c r="C115" s="35"/>
      <c r="D115" s="35"/>
      <c r="E115" s="35"/>
      <c r="F115" s="147">
        <f t="shared" si="19"/>
        <v>0</v>
      </c>
      <c r="G115" s="147">
        <f t="shared" si="18"/>
        <v>0</v>
      </c>
      <c r="H115" s="147">
        <f t="shared" si="18"/>
        <v>0</v>
      </c>
      <c r="I115" s="147">
        <f t="shared" si="18"/>
        <v>0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</row>
    <row r="116" spans="1:177" ht="12.75">
      <c r="A116" s="129" t="s">
        <v>161</v>
      </c>
      <c r="B116" s="130" t="s">
        <v>127</v>
      </c>
      <c r="C116" s="35"/>
      <c r="D116" s="35"/>
      <c r="E116" s="35"/>
      <c r="F116" s="147">
        <f t="shared" si="19"/>
        <v>0</v>
      </c>
      <c r="G116" s="147">
        <f t="shared" si="18"/>
        <v>0</v>
      </c>
      <c r="H116" s="147">
        <f t="shared" si="18"/>
        <v>0</v>
      </c>
      <c r="I116" s="147">
        <f t="shared" si="18"/>
        <v>0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</row>
    <row r="117" spans="1:177" s="7" customFormat="1" ht="12.75">
      <c r="A117" s="127" t="s">
        <v>162</v>
      </c>
      <c r="B117" s="128" t="s">
        <v>163</v>
      </c>
      <c r="C117" s="146">
        <f aca="true" t="shared" si="20" ref="C117:I117">C118+C119</f>
        <v>0</v>
      </c>
      <c r="D117" s="146">
        <f t="shared" si="20"/>
        <v>0</v>
      </c>
      <c r="E117" s="146">
        <f t="shared" si="20"/>
        <v>0</v>
      </c>
      <c r="F117" s="146">
        <f t="shared" si="20"/>
        <v>0</v>
      </c>
      <c r="G117" s="146">
        <f t="shared" si="20"/>
        <v>0</v>
      </c>
      <c r="H117" s="146">
        <f t="shared" si="20"/>
        <v>0</v>
      </c>
      <c r="I117" s="146">
        <f t="shared" si="20"/>
        <v>0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</row>
    <row r="118" spans="1:177" ht="12.75">
      <c r="A118" s="129" t="s">
        <v>164</v>
      </c>
      <c r="B118" s="132" t="s">
        <v>271</v>
      </c>
      <c r="C118" s="35"/>
      <c r="D118" s="35"/>
      <c r="E118" s="35"/>
      <c r="F118" s="147">
        <f>((C118+D118+E118)/3)*(1+Parâmetros!C11)</f>
        <v>0</v>
      </c>
      <c r="G118" s="147">
        <f>((D118+E118+F118)/3)*(1+Parâmetros!D11)</f>
        <v>0</v>
      </c>
      <c r="H118" s="147">
        <f>((E118+F118+G118)/3)*(1+Parâmetros!E11)</f>
        <v>0</v>
      </c>
      <c r="I118" s="147">
        <f>((F118+G118+H118)/3)*(1+Parâmetros!F11)</f>
        <v>0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</row>
    <row r="119" spans="1:177" ht="12.75">
      <c r="A119" s="129" t="s">
        <v>165</v>
      </c>
      <c r="B119" s="132" t="s">
        <v>166</v>
      </c>
      <c r="C119" s="35"/>
      <c r="D119" s="35"/>
      <c r="E119" s="35"/>
      <c r="F119" s="147">
        <f>((C119+D119+E119)/3)*(1+Parâmetros!C11)</f>
        <v>0</v>
      </c>
      <c r="G119" s="147">
        <f>((D119+E119+F119)/3)*(1+Parâmetros!D11)</f>
        <v>0</v>
      </c>
      <c r="H119" s="147">
        <f>((E119+F119+G119)/3)*(1+Parâmetros!E11)</f>
        <v>0</v>
      </c>
      <c r="I119" s="147">
        <f>((F119+G119+H119)/3)*(1+Parâmetros!F11)</f>
        <v>0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</row>
    <row r="120" spans="1:9" s="39" customFormat="1" ht="18">
      <c r="A120" s="133" t="s">
        <v>167</v>
      </c>
      <c r="B120" s="128" t="s">
        <v>222</v>
      </c>
      <c r="C120" s="146">
        <f aca="true" t="shared" si="21" ref="C120:I120">C121+C123+C122</f>
        <v>7842633.4</v>
      </c>
      <c r="D120" s="146">
        <f t="shared" si="21"/>
        <v>8090433.37</v>
      </c>
      <c r="E120" s="146">
        <f t="shared" si="21"/>
        <v>8207000</v>
      </c>
      <c r="F120" s="146">
        <f t="shared" si="21"/>
        <v>8600417.361258667</v>
      </c>
      <c r="G120" s="146">
        <f t="shared" si="21"/>
        <v>8620545.776446335</v>
      </c>
      <c r="H120" s="146">
        <f t="shared" si="21"/>
        <v>8755540.733226804</v>
      </c>
      <c r="I120" s="146">
        <f t="shared" si="21"/>
        <v>8913799.662353253</v>
      </c>
    </row>
    <row r="121" spans="1:9" s="39" customFormat="1" ht="18">
      <c r="A121" s="134" t="s">
        <v>167</v>
      </c>
      <c r="B121" s="130" t="s">
        <v>224</v>
      </c>
      <c r="C121" s="192">
        <v>7599342.13</v>
      </c>
      <c r="D121" s="35">
        <v>7747127.69</v>
      </c>
      <c r="E121" s="35">
        <v>8050000</v>
      </c>
      <c r="F121" s="147">
        <f>((C121+D121+E121)/3)*(1+Parâmetros!B11)</f>
        <v>8335382.314538667</v>
      </c>
      <c r="G121" s="147">
        <f>((D121+E121+F121)/3)*(1+Parâmetros!C11)</f>
        <v>8353066.129570984</v>
      </c>
      <c r="H121" s="147">
        <f>((E121+F121+G121)/3)*(1+Parâmetros!D11)</f>
        <v>8514149.339514405</v>
      </c>
      <c r="I121" s="147">
        <f>((F121+G121+H121)/3)*(1+Parâmetros!E11)</f>
        <v>8652891.905710926</v>
      </c>
    </row>
    <row r="122" spans="1:9" s="39" customFormat="1" ht="18">
      <c r="A122" s="134" t="s">
        <v>167</v>
      </c>
      <c r="B122" s="232" t="s">
        <v>446</v>
      </c>
      <c r="C122" s="192">
        <v>172253.49</v>
      </c>
      <c r="D122" s="35">
        <v>124621.45</v>
      </c>
      <c r="E122" s="35">
        <v>122000</v>
      </c>
      <c r="F122" s="147">
        <f>((C122+D122+E122)/3)*(1+Parâmetros!B11)+116.24</f>
        <v>149347.41862399998</v>
      </c>
      <c r="G122" s="147">
        <f>((D122+E122+F122)/3)*(1+Parâmetros!C11)+2569.71</f>
        <v>139627.73439305386</v>
      </c>
      <c r="H122" s="147">
        <f>((E122+F122+G122)/3)*(1+Parâmetros!D11)+4083.42</f>
        <v>145527.36849670272</v>
      </c>
      <c r="I122" s="147">
        <f>((F122+G122+H122)/3)*(1+Parâmetros!E11)-4800</f>
        <v>144379.19905305645</v>
      </c>
    </row>
    <row r="123" spans="1:9" s="39" customFormat="1" ht="18">
      <c r="A123" s="134" t="s">
        <v>167</v>
      </c>
      <c r="B123" s="130" t="s">
        <v>225</v>
      </c>
      <c r="C123" s="192">
        <f>243291.27-C122</f>
        <v>71037.78</v>
      </c>
      <c r="D123" s="35">
        <f>343305.68-D122</f>
        <v>218684.22999999998</v>
      </c>
      <c r="E123" s="35">
        <f>157000-E122</f>
        <v>35000</v>
      </c>
      <c r="F123" s="147">
        <f>((C123+D123+E123)/3)*(1+Parâmetros!B11)</f>
        <v>115687.628096</v>
      </c>
      <c r="G123" s="147">
        <f>((D123+E123+F123)/3)*(1+Parâmetros!C11)</f>
        <v>127851.91248229546</v>
      </c>
      <c r="H123" s="147">
        <f>((E123+F123+G123)/3)*(1+Parâmetros!D11)</f>
        <v>95864.02521569669</v>
      </c>
      <c r="I123" s="147">
        <f>((F123+G123+H123)/3)*(1+Parâmetros!E11)</f>
        <v>116528.55758927064</v>
      </c>
    </row>
    <row r="124" spans="1:9" s="39" customFormat="1" ht="18">
      <c r="A124" s="127" t="s">
        <v>168</v>
      </c>
      <c r="B124" s="128" t="s">
        <v>169</v>
      </c>
      <c r="C124" s="146">
        <f aca="true" t="shared" si="22" ref="C124:I124">C125+C126</f>
        <v>0</v>
      </c>
      <c r="D124" s="146">
        <f t="shared" si="22"/>
        <v>0</v>
      </c>
      <c r="E124" s="146">
        <f t="shared" si="22"/>
        <v>0</v>
      </c>
      <c r="F124" s="146">
        <f t="shared" si="22"/>
        <v>0</v>
      </c>
      <c r="G124" s="146">
        <f t="shared" si="22"/>
        <v>0</v>
      </c>
      <c r="H124" s="146">
        <f t="shared" si="22"/>
        <v>0</v>
      </c>
      <c r="I124" s="146">
        <f t="shared" si="22"/>
        <v>0</v>
      </c>
    </row>
    <row r="125" spans="1:9" s="39" customFormat="1" ht="18">
      <c r="A125" s="129" t="s">
        <v>168</v>
      </c>
      <c r="B125" s="130" t="s">
        <v>226</v>
      </c>
      <c r="C125" s="35"/>
      <c r="D125" s="35"/>
      <c r="E125" s="35"/>
      <c r="F125" s="147">
        <f>((C125+D125+E125)/3)*(1+Parâmetros!C11)</f>
        <v>0</v>
      </c>
      <c r="G125" s="147">
        <f>((D125+E125+F125)/3)*(1+Parâmetros!D11)</f>
        <v>0</v>
      </c>
      <c r="H125" s="147">
        <f>((E125+F125+G125)/3)*(1+Parâmetros!E11)</f>
        <v>0</v>
      </c>
      <c r="I125" s="147">
        <f>((F125+G125+H125)/3)*(1+Parâmetros!F11)</f>
        <v>0</v>
      </c>
    </row>
    <row r="126" spans="1:9" s="39" customFormat="1" ht="18">
      <c r="A126" s="129" t="s">
        <v>168</v>
      </c>
      <c r="B126" s="130" t="s">
        <v>227</v>
      </c>
      <c r="C126" s="35"/>
      <c r="D126" s="35"/>
      <c r="E126" s="35"/>
      <c r="F126" s="147">
        <f>((C126+D126+E126)/3)*(1+Parâmetros!C11)</f>
        <v>0</v>
      </c>
      <c r="G126" s="147">
        <f>((D126+E126+F126)/3)*(1+Parâmetros!D11)</f>
        <v>0</v>
      </c>
      <c r="H126" s="147">
        <f>((E126+F126+G126)/3)*(1+Parâmetros!E11)</f>
        <v>0</v>
      </c>
      <c r="I126" s="147">
        <f>((F126+G126+H126)/3)*(1+Parâmetros!F11)</f>
        <v>0</v>
      </c>
    </row>
    <row r="127" spans="1:177" s="10" customFormat="1" ht="30.75" customHeight="1">
      <c r="A127" s="127" t="s">
        <v>170</v>
      </c>
      <c r="B127" s="128" t="s">
        <v>218</v>
      </c>
      <c r="C127" s="146">
        <f aca="true" t="shared" si="23" ref="C127:I127">C128+C129+C130+C131</f>
        <v>-9068885.716000002</v>
      </c>
      <c r="D127" s="146">
        <f t="shared" si="23"/>
        <v>-9323219.13</v>
      </c>
      <c r="E127" s="146">
        <f>E128+E129+E130+E131</f>
        <v>-9286619.404</v>
      </c>
      <c r="F127" s="146">
        <f t="shared" si="23"/>
        <v>-9860656.698591998</v>
      </c>
      <c r="G127" s="146">
        <f t="shared" si="23"/>
        <v>-9854495.943537766</v>
      </c>
      <c r="H127" s="146">
        <f t="shared" si="23"/>
        <v>-9981419.906385105</v>
      </c>
      <c r="I127" s="146">
        <f t="shared" si="23"/>
        <v>-10195823.241656773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</row>
    <row r="128" spans="1:177" ht="12.75">
      <c r="A128" s="129" t="s">
        <v>171</v>
      </c>
      <c r="B128" s="130" t="s">
        <v>219</v>
      </c>
      <c r="C128" s="193">
        <v>-1357506.82</v>
      </c>
      <c r="D128" s="29">
        <v>-1521581.87</v>
      </c>
      <c r="E128" s="29"/>
      <c r="F128" s="147">
        <f>((C128+D128+E128)/3)*(1+Parâmetros!B11)*(1+Parâmetros!C15)</f>
        <v>-1025723.330624</v>
      </c>
      <c r="G128" s="147">
        <f>((D128+E128+F128)/3)*(1+Parâmetros!C11)*(1+Parâmetros!D15)</f>
        <v>-881707.2401093206</v>
      </c>
      <c r="H128" s="147">
        <f>((E128+F128+G128)/3)*(1+Parâmetros!D11)*(1+Parâmetros!E15)</f>
        <v>-656474.0214273845</v>
      </c>
      <c r="I128" s="147">
        <f>((F128+G128+H128)/3)*(1+Parâmetros!E11)*(1+Parâmetros!F15)</f>
        <v>-880273.9099751754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</row>
    <row r="129" spans="1:177" ht="12.75">
      <c r="A129" s="129" t="s">
        <v>172</v>
      </c>
      <c r="B129" s="130" t="s">
        <v>173</v>
      </c>
      <c r="C129" s="148">
        <f aca="true" t="shared" si="24" ref="C129:I129">-((C46+C49+C54+C61+C62+C63)*0.2)</f>
        <v>-7639630.996000001</v>
      </c>
      <c r="D129" s="148">
        <f t="shared" si="24"/>
        <v>-7523187.920000001</v>
      </c>
      <c r="E129" s="148">
        <f t="shared" si="24"/>
        <v>-9286619.404</v>
      </c>
      <c r="F129" s="148">
        <f>-((F46+F49+F54+F61+F62+F63)*0.2)</f>
        <v>-8710519.892138666</v>
      </c>
      <c r="G129" s="148">
        <f t="shared" si="24"/>
        <v>-8833435.927079465</v>
      </c>
      <c r="H129" s="148">
        <f t="shared" si="24"/>
        <v>-9234189.63932424</v>
      </c>
      <c r="I129" s="148">
        <f t="shared" si="24"/>
        <v>-9193829.940766213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</row>
    <row r="130" spans="1:177" ht="12.75">
      <c r="A130" s="129" t="s">
        <v>174</v>
      </c>
      <c r="B130" s="130" t="s">
        <v>220</v>
      </c>
      <c r="C130" s="192">
        <f>-906015.71+834267.81</f>
        <v>-71747.8999999999</v>
      </c>
      <c r="D130" s="35">
        <f>-1970144.89+1726247.61</f>
        <v>-243897.2799999998</v>
      </c>
      <c r="E130" s="35"/>
      <c r="F130" s="147">
        <f>((C130+D130+E130)/3)*(1+Parâmetros!B11)</f>
        <v>-112453.85612799988</v>
      </c>
      <c r="G130" s="147">
        <f>((D130+E130+F130)/3)*(1+Parâmetros!C11)</f>
        <v>-123345.00658510496</v>
      </c>
      <c r="H130" s="147">
        <f>((E130+F130+G130)/3)*(1+Parâmetros!D11)</f>
        <v>-81154.10858376024</v>
      </c>
      <c r="I130" s="147">
        <f>((F130+G130+H130)/3)*(1+Parâmetros!E11)</f>
        <v>-108820.52014525702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</row>
    <row r="131" spans="1:177" ht="12.75">
      <c r="A131" s="129" t="s">
        <v>175</v>
      </c>
      <c r="B131" s="130" t="s">
        <v>221</v>
      </c>
      <c r="C131" s="35"/>
      <c r="D131" s="35">
        <v>-34552.06</v>
      </c>
      <c r="E131" s="35"/>
      <c r="F131" s="147">
        <f>((C131+D131+E131)/3)*(1+Parâmetros!C11)</f>
        <v>-11959.619701333333</v>
      </c>
      <c r="G131" s="147">
        <f>((D131+E131+F131)/3)*(1+Parâmetros!D11)</f>
        <v>-16007.769763875553</v>
      </c>
      <c r="H131" s="147">
        <f>((E131+F131+G131)/3)*(1+Parâmetros!E11)</f>
        <v>-9602.137049721718</v>
      </c>
      <c r="I131" s="147">
        <f>((F131+G131+H131)/3)*(1+Parâmetros!F11)</f>
        <v>-12898.870770126176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</row>
    <row r="132" spans="1:177" s="9" customFormat="1" ht="25.5" customHeight="1">
      <c r="A132" s="135"/>
      <c r="B132" s="136" t="s">
        <v>200</v>
      </c>
      <c r="C132" s="148">
        <f aca="true" t="shared" si="25" ref="C132:I132">C8+C92+C120+C124+C127</f>
        <v>98610194.66399999</v>
      </c>
      <c r="D132" s="148">
        <f t="shared" si="25"/>
        <v>102336821.34000002</v>
      </c>
      <c r="E132" s="148">
        <f t="shared" si="25"/>
        <v>111159857.516</v>
      </c>
      <c r="F132" s="148">
        <f>F8+F92+F120+F124+F127</f>
        <v>112419999.99611789</v>
      </c>
      <c r="G132" s="148">
        <f t="shared" si="25"/>
        <v>112829999.99972841</v>
      </c>
      <c r="H132" s="148">
        <f t="shared" si="25"/>
        <v>115809999.99841228</v>
      </c>
      <c r="I132" s="148">
        <f t="shared" si="25"/>
        <v>117129999.99557975</v>
      </c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</row>
    <row r="133" spans="1:177" s="9" customFormat="1" ht="25.5" customHeight="1">
      <c r="A133" s="137"/>
      <c r="B133" s="137"/>
      <c r="C133" s="149"/>
      <c r="D133" s="149"/>
      <c r="E133" s="149"/>
      <c r="F133" s="149"/>
      <c r="G133" s="149"/>
      <c r="H133" s="149"/>
      <c r="I133" s="149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</row>
    <row r="134" spans="1:177" s="9" customFormat="1" ht="25.5" customHeight="1">
      <c r="A134" s="137"/>
      <c r="B134" s="137" t="s">
        <v>365</v>
      </c>
      <c r="C134" s="150">
        <f aca="true" t="shared" si="26" ref="C134:I134">C7</f>
        <v>2019</v>
      </c>
      <c r="D134" s="150">
        <f t="shared" si="26"/>
        <v>2020</v>
      </c>
      <c r="E134" s="150">
        <f t="shared" si="26"/>
        <v>2021</v>
      </c>
      <c r="F134" s="150">
        <f t="shared" si="26"/>
        <v>2022</v>
      </c>
      <c r="G134" s="150">
        <f t="shared" si="26"/>
        <v>2023</v>
      </c>
      <c r="H134" s="150">
        <f t="shared" si="26"/>
        <v>2024</v>
      </c>
      <c r="I134" s="150">
        <f t="shared" si="26"/>
        <v>2025</v>
      </c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</row>
    <row r="135" spans="1:177" s="9" customFormat="1" ht="25.5" customHeight="1">
      <c r="A135" s="137"/>
      <c r="B135" s="138" t="s">
        <v>366</v>
      </c>
      <c r="C135" s="151">
        <v>652200</v>
      </c>
      <c r="D135" s="151">
        <v>746200</v>
      </c>
      <c r="E135" s="151">
        <v>664800</v>
      </c>
      <c r="F135" s="147">
        <f>((C135+D135+E135)/3)*(1+Parâmetros!C11)</f>
        <v>714142.2933333333</v>
      </c>
      <c r="G135" s="147">
        <f>((D135+E135+F135)/3)*(1+Parâmetros!D11)</f>
        <v>731403.1392888889</v>
      </c>
      <c r="H135" s="147">
        <f>((E135+F135+G135)/3)*(1+Parâmetros!E11)</f>
        <v>724551.9318669629</v>
      </c>
      <c r="I135" s="147">
        <f>((F135+G135+H135)/3)*(1+Parâmetros!F11)</f>
        <v>745066.7618079536</v>
      </c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</row>
    <row r="136" spans="1:177" ht="12.75">
      <c r="A136" s="32"/>
      <c r="B136" s="32"/>
      <c r="C136" s="33"/>
      <c r="D136" s="33"/>
      <c r="E136" s="33"/>
      <c r="F136" s="33"/>
      <c r="G136" s="55"/>
      <c r="H136" s="55"/>
      <c r="I136" s="55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</row>
    <row r="137" spans="1:177" ht="12.75">
      <c r="A137" s="204" t="s">
        <v>427</v>
      </c>
      <c r="B137" s="32"/>
      <c r="C137" s="33"/>
      <c r="D137" s="33"/>
      <c r="E137" s="33"/>
      <c r="F137" s="33"/>
      <c r="G137" s="55"/>
      <c r="H137" s="55"/>
      <c r="I137" s="55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</row>
    <row r="138" spans="1:177" ht="15.75">
      <c r="A138" s="252" t="str">
        <f>Parâmetros!A1</f>
        <v>Município de :  IVOTI</v>
      </c>
      <c r="B138" s="250"/>
      <c r="C138" s="250"/>
      <c r="D138" s="250"/>
      <c r="E138" s="250"/>
      <c r="F138" s="250"/>
      <c r="G138" s="250"/>
      <c r="H138" s="250"/>
      <c r="I138" s="250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</row>
    <row r="139" spans="1:177" ht="15.75">
      <c r="A139" s="251" t="str">
        <f>Parâmetros!A8</f>
        <v>PLANO PLURIANUAL 2022 - 2025</v>
      </c>
      <c r="B139" s="250"/>
      <c r="C139" s="250"/>
      <c r="D139" s="250"/>
      <c r="E139" s="250"/>
      <c r="F139" s="250"/>
      <c r="G139" s="250"/>
      <c r="H139" s="250"/>
      <c r="I139" s="250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</row>
    <row r="140" spans="1:177" ht="15.75">
      <c r="A140" s="249" t="s">
        <v>283</v>
      </c>
      <c r="B140" s="250"/>
      <c r="C140" s="250"/>
      <c r="D140" s="250"/>
      <c r="E140" s="250"/>
      <c r="F140" s="250"/>
      <c r="G140" s="250"/>
      <c r="H140" s="250"/>
      <c r="I140" s="250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</row>
    <row r="141" spans="1:177" ht="15">
      <c r="A141" s="32"/>
      <c r="B141" s="32"/>
      <c r="C141" s="33"/>
      <c r="D141" s="33"/>
      <c r="E141" s="33"/>
      <c r="F141" s="33"/>
      <c r="G141" s="55"/>
      <c r="H141" s="55"/>
      <c r="I141" s="16" t="s">
        <v>28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</row>
    <row r="142" spans="1:177" s="1" customFormat="1" ht="31.5">
      <c r="A142" s="152"/>
      <c r="B142" s="153" t="s">
        <v>0</v>
      </c>
      <c r="C142" s="186" t="s">
        <v>414</v>
      </c>
      <c r="D142" s="186" t="s">
        <v>414</v>
      </c>
      <c r="E142" s="186" t="s">
        <v>415</v>
      </c>
      <c r="F142" s="187" t="s">
        <v>416</v>
      </c>
      <c r="G142" s="187" t="s">
        <v>416</v>
      </c>
      <c r="H142" s="188" t="s">
        <v>416</v>
      </c>
      <c r="I142" s="189" t="s">
        <v>416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</row>
    <row r="143" spans="1:177" s="1" customFormat="1" ht="27.75" customHeight="1">
      <c r="A143" s="154"/>
      <c r="B143" s="155" t="s">
        <v>3</v>
      </c>
      <c r="C143" s="190">
        <f>C7</f>
        <v>2019</v>
      </c>
      <c r="D143" s="191">
        <f aca="true" t="shared" si="27" ref="D143:I143">C143+1</f>
        <v>2020</v>
      </c>
      <c r="E143" s="191">
        <f t="shared" si="27"/>
        <v>2021</v>
      </c>
      <c r="F143" s="191">
        <f t="shared" si="27"/>
        <v>2022</v>
      </c>
      <c r="G143" s="191">
        <f t="shared" si="27"/>
        <v>2023</v>
      </c>
      <c r="H143" s="191">
        <f t="shared" si="27"/>
        <v>2024</v>
      </c>
      <c r="I143" s="191">
        <f t="shared" si="27"/>
        <v>2025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</row>
    <row r="144" spans="1:177" s="40" customFormat="1" ht="15.75">
      <c r="A144" s="156" t="s">
        <v>284</v>
      </c>
      <c r="B144" s="157" t="s">
        <v>285</v>
      </c>
      <c r="C144" s="163">
        <f aca="true" t="shared" si="28" ref="C144:I144">SUM(C145:C150)</f>
        <v>42892703.27</v>
      </c>
      <c r="D144" s="163">
        <f t="shared" si="28"/>
        <v>44099386.72</v>
      </c>
      <c r="E144" s="163">
        <f t="shared" si="28"/>
        <v>44521700</v>
      </c>
      <c r="F144" s="163">
        <f t="shared" si="28"/>
        <v>50436414.223017365</v>
      </c>
      <c r="G144" s="163">
        <f t="shared" si="28"/>
        <v>48866455.980387494</v>
      </c>
      <c r="H144" s="163">
        <f t="shared" si="28"/>
        <v>50254492.16107483</v>
      </c>
      <c r="I144" s="163">
        <f t="shared" si="28"/>
        <v>52131085.16825139</v>
      </c>
      <c r="J144" s="49"/>
      <c r="K144" s="196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</row>
    <row r="145" spans="1:177" s="40" customFormat="1" ht="15">
      <c r="A145" s="158"/>
      <c r="B145" s="159" t="s">
        <v>286</v>
      </c>
      <c r="C145" s="70">
        <v>374593.3</v>
      </c>
      <c r="D145" s="70">
        <v>390362.24</v>
      </c>
      <c r="E145" s="70">
        <v>505000</v>
      </c>
      <c r="F145" s="147">
        <f>((C145+D145+E145)/3)*(1+Parâmetros!B11)*(1+Parâmetros!C13)*(1+Parâmetros!C19)</f>
        <v>459342.5801631893</v>
      </c>
      <c r="G145" s="147">
        <f>((D145+E145+F145)/3)*(1+Parâmetros!C11)*(1+Parâmetros!D13)*(1+Parâmetros!D19)</f>
        <v>476059.34963587736</v>
      </c>
      <c r="H145" s="147">
        <f>((E145+F145+G145)/3)*(1+Parâmetros!D11)*(1+Parâmetros!E13)*(1+Parâmetros!E19)</f>
        <v>503298.34038447624</v>
      </c>
      <c r="I145" s="147">
        <f>((F145+G145+H145)/3)*(1+Parâmetros!E11)*(1+Parâmetros!F13)*(1+Parâmetros!F19)</f>
        <v>501486.55426098563</v>
      </c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</row>
    <row r="146" spans="1:177" s="8" customFormat="1" ht="15">
      <c r="A146" s="158"/>
      <c r="B146" s="159" t="s">
        <v>315</v>
      </c>
      <c r="C146" s="70">
        <v>4568473.68</v>
      </c>
      <c r="D146" s="70">
        <v>5257469.02</v>
      </c>
      <c r="E146" s="70">
        <v>4948900</v>
      </c>
      <c r="F146" s="147">
        <f>((C146+D146+E146)/3)*(1+Parâmetros!B11)*(1+Parâmetros!C13)*(1+Parâmetros!C18)</f>
        <v>5669392.146261408</v>
      </c>
      <c r="G146" s="147">
        <f>((D146+E146+F146)/3)*(1+Parâmetros!C11)*(1+Parâmetros!D13)*(1+Parâmetros!D18)</f>
        <v>5578930.866190098</v>
      </c>
      <c r="H146" s="147">
        <f>((E146+F146+G146)/3)*(1+Parâmetros!D11)*(1+Parâmetros!E13)*(1+Parâmetros!E18)</f>
        <v>5659556.053317203</v>
      </c>
      <c r="I146" s="147">
        <f>((F146+G146+H146)/3)*(1+Parâmetros!E11)*(1+Parâmetros!F13)*(1+Parâmetros!F18)</f>
        <v>5893565.3160557775</v>
      </c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</row>
    <row r="147" spans="1:177" s="8" customFormat="1" ht="15">
      <c r="A147" s="158"/>
      <c r="B147" s="159" t="s">
        <v>316</v>
      </c>
      <c r="C147" s="70">
        <v>20008237.02</v>
      </c>
      <c r="D147" s="70">
        <v>20393337.81</v>
      </c>
      <c r="E147" s="70">
        <v>20000900</v>
      </c>
      <c r="F147" s="147">
        <f>((C147+D147+E147)/3)*(1+Parâmetros!B11)*(1+Parâmetros!C13)*(1+Parâmetros!C18)</f>
        <v>23177594.737841398</v>
      </c>
      <c r="G147" s="147">
        <f>((D147+E147+F147)/3)*(1+Parâmetros!C11)*(1+Parâmetros!D13)*(1+Parâmetros!D18)</f>
        <v>22339896.343057703</v>
      </c>
      <c r="H147" s="147">
        <f>((E147+F147+G147)/3)*(1+Parâmetros!D11)*(1+Parâmetros!E13)*(1+Parâmetros!E18)</f>
        <v>22893122.269197166</v>
      </c>
      <c r="I147" s="147">
        <f>((F147+G147+H147)/3)*(1+Parâmetros!E11)*(1+Parâmetros!F13)*(1+Parâmetros!F18)</f>
        <v>23845830.4865986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</row>
    <row r="148" spans="1:177" s="8" customFormat="1" ht="14.25" customHeight="1">
      <c r="A148" s="158"/>
      <c r="B148" s="159" t="s">
        <v>287</v>
      </c>
      <c r="C148" s="70">
        <v>260351.65</v>
      </c>
      <c r="D148" s="70">
        <v>203412.78</v>
      </c>
      <c r="E148" s="70">
        <v>179000</v>
      </c>
      <c r="F148" s="147">
        <f>((C148+D148+E148)/3)*(1+Parâmetros!B11)*(1+Parâmetros!C13)*(1+Parâmetros!C18)</f>
        <v>246641.11052351107</v>
      </c>
      <c r="G148" s="147">
        <f>((D148+E148+F148)/3)*(1+Parâmetros!C11)*(1+Parâmetros!D13)*(1+Parâmetros!D18)</f>
        <v>221057.00190279598</v>
      </c>
      <c r="H148" s="147">
        <f>((E148+F148+G148)/3)*(1+Parâmetros!D11)*(1+Parâmetros!E13)*(1+Parâmetros!E18)</f>
        <v>225966.1556822115</v>
      </c>
      <c r="I148" s="147">
        <f>((F148+G148+H148)/3)*(1+Parâmetros!E11)*(1+Parâmetros!F13)*(1+Parâmetros!F18)</f>
        <v>241789.97588102953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</row>
    <row r="149" spans="1:177" s="65" customFormat="1" ht="14.25" customHeight="1">
      <c r="A149" s="158"/>
      <c r="B149" s="159" t="s">
        <v>288</v>
      </c>
      <c r="C149" s="70">
        <v>3918324.5</v>
      </c>
      <c r="D149" s="70">
        <v>3981613.86</v>
      </c>
      <c r="E149" s="70">
        <v>4620000</v>
      </c>
      <c r="F149" s="147">
        <f>((C149+D149+E149)/3)*(1+Parâmetros!B11)*(1+Parâmetros!C13)*(1+Parâmetros!C18)</f>
        <v>4804141.854576966</v>
      </c>
      <c r="G149" s="147">
        <f>((D149+E149+F149)/3)*(1+Parâmetros!C11)*(1+Parâmetros!D13)*(1+Parâmetros!D18)</f>
        <v>4710941.639736825</v>
      </c>
      <c r="H149" s="147">
        <f>((E149+F149+G149)/3)*(1+Parâmetros!D11)*(1+Parâmetros!E13)*(1+Parâmetros!E18)</f>
        <v>4939013.143974715</v>
      </c>
      <c r="I149" s="147">
        <f>((F149+G149+H149)/3)*(1+Parâmetros!E11)*(1+Parâmetros!F13)*(1+Parâmetros!F18)</f>
        <v>5038252.420127693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</row>
    <row r="150" spans="1:177" s="65" customFormat="1" ht="14.25" customHeight="1">
      <c r="A150" s="158"/>
      <c r="B150" s="159" t="s">
        <v>289</v>
      </c>
      <c r="C150" s="195">
        <f>42892703.27-(SUM(C145:C149))</f>
        <v>13762723.120000005</v>
      </c>
      <c r="D150" s="195">
        <f>44099386.72-(SUM(D145:D149))</f>
        <v>13873191.009999998</v>
      </c>
      <c r="E150" s="195">
        <f>44521700-(SUM(E145:E149))</f>
        <v>14267900</v>
      </c>
      <c r="F150" s="147">
        <f>((C150+D150+E150)/3)*(1+Parâmetros!B11)*(1+Parâmetros!C13)*(1+Parâmetros!C18)</f>
        <v>16079301.7936509</v>
      </c>
      <c r="G150" s="147">
        <f>((D150+E150+F150)/3)*(1+Parâmetros!C11)*(1+Parâmetros!D13)*(1+Parâmetros!D18)</f>
        <v>15539570.779864196</v>
      </c>
      <c r="H150" s="147">
        <f>((E150+F150+G150)/3)*(1+Parâmetros!D11)*(1+Parâmetros!E13)*(1+Parâmetros!E18)</f>
        <v>16033536.19851906</v>
      </c>
      <c r="I150" s="147">
        <f>((F150+G150+H150)/3)*(1+Parâmetros!E11)*(1+Parâmetros!F13)*(1+Parâmetros!F18)</f>
        <v>16610160.415327301</v>
      </c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</row>
    <row r="151" spans="1:177" s="41" customFormat="1" ht="15.75">
      <c r="A151" s="156" t="s">
        <v>290</v>
      </c>
      <c r="B151" s="157" t="s">
        <v>291</v>
      </c>
      <c r="C151" s="163">
        <f aca="true" t="shared" si="29" ref="C151:I151">SUM(C152:C157)</f>
        <v>92379.51</v>
      </c>
      <c r="D151" s="163">
        <f t="shared" si="29"/>
        <v>107332.58</v>
      </c>
      <c r="E151" s="163">
        <f t="shared" si="29"/>
        <v>30000</v>
      </c>
      <c r="F151" s="163">
        <f>SUM(F152:F157)</f>
        <v>79511.01141866668</v>
      </c>
      <c r="G151" s="163">
        <f t="shared" si="29"/>
        <v>74630.33604659112</v>
      </c>
      <c r="H151" s="163">
        <f t="shared" si="29"/>
        <v>63221.86262973851</v>
      </c>
      <c r="I151" s="163">
        <f t="shared" si="29"/>
        <v>74628.03546594873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</row>
    <row r="152" spans="1:177" ht="15">
      <c r="A152" s="158"/>
      <c r="B152" s="159" t="s">
        <v>292</v>
      </c>
      <c r="C152" s="70"/>
      <c r="D152" s="70"/>
      <c r="E152" s="70"/>
      <c r="F152" s="147">
        <f>((C152+D152+E152)/3)*(1+Parâmetros!C11)</f>
        <v>0</v>
      </c>
      <c r="G152" s="147">
        <f>((D152+E152+F152)/3)*(1+Parâmetros!D11)</f>
        <v>0</v>
      </c>
      <c r="H152" s="147">
        <f>((E152+F152+G152)/3)*(1+Parâmetros!E11)</f>
        <v>0</v>
      </c>
      <c r="I152" s="147">
        <f>((F152+G152+H152)/3)*(1+Parâmetros!F11)</f>
        <v>0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</row>
    <row r="153" spans="1:177" ht="15">
      <c r="A153" s="158"/>
      <c r="B153" s="159" t="s">
        <v>293</v>
      </c>
      <c r="C153" s="70"/>
      <c r="D153" s="70"/>
      <c r="E153" s="70"/>
      <c r="F153" s="147">
        <f>((C153+D153+E153)/3)*(1+Parâmetros!C11)</f>
        <v>0</v>
      </c>
      <c r="G153" s="147">
        <f>((D153+E153+F153)/3)*(1+Parâmetros!D11)</f>
        <v>0</v>
      </c>
      <c r="H153" s="147">
        <f>((E153+F153+G153)/3)*(1+Parâmetros!E11)</f>
        <v>0</v>
      </c>
      <c r="I153" s="147">
        <f>((F153+G153+H153)/3)*(1+Parâmetros!F11)</f>
        <v>0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</row>
    <row r="154" spans="1:177" ht="15">
      <c r="A154" s="158"/>
      <c r="B154" s="159" t="s">
        <v>294</v>
      </c>
      <c r="C154" s="70"/>
      <c r="D154" s="70"/>
      <c r="E154" s="70"/>
      <c r="F154" s="147">
        <f>((C154+D154+E154)/3)*(1+Parâmetros!C11)</f>
        <v>0</v>
      </c>
      <c r="G154" s="147">
        <f>((D154+E154+F154)/3)*(1+Parâmetros!D11)</f>
        <v>0</v>
      </c>
      <c r="H154" s="147">
        <f>((E154+F154+G154)/3)*(1+Parâmetros!E11)</f>
        <v>0</v>
      </c>
      <c r="I154" s="147">
        <f>((F154+G154+H154)/3)*(1+Parâmetros!F11)</f>
        <v>0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</row>
    <row r="155" spans="1:177" ht="15">
      <c r="A155" s="158"/>
      <c r="B155" s="159" t="s">
        <v>295</v>
      </c>
      <c r="C155" s="70"/>
      <c r="D155" s="70"/>
      <c r="E155" s="70"/>
      <c r="F155" s="147">
        <f>((C155+D155+E155)/3)*(1+Parâmetros!C11)</f>
        <v>0</v>
      </c>
      <c r="G155" s="147">
        <f>((D155+E155+F155)/3)*(1+Parâmetros!D11)</f>
        <v>0</v>
      </c>
      <c r="H155" s="147">
        <f>((E155+F155+G155)/3)*(1+Parâmetros!E11)</f>
        <v>0</v>
      </c>
      <c r="I155" s="147">
        <f>((F155+G155+H155)/3)*(1+Parâmetros!F11)</f>
        <v>0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</row>
    <row r="156" spans="1:177" s="40" customFormat="1" ht="15">
      <c r="A156" s="158"/>
      <c r="B156" s="159" t="s">
        <v>296</v>
      </c>
      <c r="C156" s="70"/>
      <c r="D156" s="70"/>
      <c r="E156" s="70"/>
      <c r="F156" s="147">
        <f>((C156+D156+E156)/3)*(1+Parâmetros!C11)</f>
        <v>0</v>
      </c>
      <c r="G156" s="147">
        <f>((D156+E156+F156)/3)*(1+Parâmetros!D11)</f>
        <v>0</v>
      </c>
      <c r="H156" s="147">
        <f>((E156+F156+G156)/3)*(1+Parâmetros!E11)</f>
        <v>0</v>
      </c>
      <c r="I156" s="147">
        <f>((F156+G156+H156)/3)*(1+Parâmetros!F11)</f>
        <v>0</v>
      </c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</row>
    <row r="157" spans="1:177" s="40" customFormat="1" ht="15">
      <c r="A157" s="158"/>
      <c r="B157" s="159" t="s">
        <v>297</v>
      </c>
      <c r="C157" s="70">
        <v>92379.51</v>
      </c>
      <c r="D157" s="70">
        <v>107332.58</v>
      </c>
      <c r="E157" s="70">
        <v>30000</v>
      </c>
      <c r="F157" s="147">
        <f>((C157+D157+E157)/3)*(1+Parâmetros!C11)</f>
        <v>79511.01141866668</v>
      </c>
      <c r="G157" s="147">
        <f>((D157+E157+F157)/3)*(1+Parâmetros!D11)</f>
        <v>74630.33604659112</v>
      </c>
      <c r="H157" s="147">
        <f>((E157+F157+G157)/3)*(1+Parâmetros!E11)</f>
        <v>63221.86262973851</v>
      </c>
      <c r="I157" s="147">
        <f>((F157+G157+H157)/3)*(1+Parâmetros!F11)</f>
        <v>74628.03546594873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</row>
    <row r="158" spans="1:177" s="40" customFormat="1" ht="15.75">
      <c r="A158" s="156" t="s">
        <v>300</v>
      </c>
      <c r="B158" s="157" t="s">
        <v>348</v>
      </c>
      <c r="C158" s="163">
        <f aca="true" t="shared" si="30" ref="C158:I158">SUM(C159:C164)</f>
        <v>0</v>
      </c>
      <c r="D158" s="163">
        <f t="shared" si="30"/>
        <v>0</v>
      </c>
      <c r="E158" s="163">
        <f t="shared" si="30"/>
        <v>0</v>
      </c>
      <c r="F158" s="163">
        <f t="shared" si="30"/>
        <v>0</v>
      </c>
      <c r="G158" s="163">
        <f t="shared" si="30"/>
        <v>0</v>
      </c>
      <c r="H158" s="163">
        <f t="shared" si="30"/>
        <v>0</v>
      </c>
      <c r="I158" s="163">
        <f t="shared" si="30"/>
        <v>0</v>
      </c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</row>
    <row r="159" spans="1:177" s="40" customFormat="1" ht="15">
      <c r="A159" s="158"/>
      <c r="B159" s="159" t="s">
        <v>301</v>
      </c>
      <c r="C159" s="70"/>
      <c r="D159" s="70"/>
      <c r="E159" s="70"/>
      <c r="F159" s="147">
        <f>((C159+D159+E159)/3)*(1+Parâmetros!C11)*(1+Parâmetros!C14)</f>
        <v>0</v>
      </c>
      <c r="G159" s="147">
        <f>((D159+E159+F159)/3)*(1+Parâmetros!D11)*(1+Parâmetros!D14)</f>
        <v>0</v>
      </c>
      <c r="H159" s="147">
        <f>((E159+F159+G159)/3)*(1+Parâmetros!E11)*(1+Parâmetros!E14)</f>
        <v>0</v>
      </c>
      <c r="I159" s="147">
        <f>((F159+G159+H159)/3)*(1+Parâmetros!F11)*(1+Parâmetros!F14)</f>
        <v>0</v>
      </c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</row>
    <row r="160" spans="1:177" s="40" customFormat="1" ht="15">
      <c r="A160" s="158"/>
      <c r="B160" s="159" t="s">
        <v>302</v>
      </c>
      <c r="C160" s="70"/>
      <c r="D160" s="70"/>
      <c r="E160" s="70"/>
      <c r="F160" s="147">
        <f>((C160+D160+E160)/3)*(1+Parâmetros!C11)*(1+Parâmetros!C14)</f>
        <v>0</v>
      </c>
      <c r="G160" s="147">
        <f>((D160+E160+F160)/3)*(1+Parâmetros!D11)*(1+Parâmetros!D14)</f>
        <v>0</v>
      </c>
      <c r="H160" s="147">
        <f>((E160+F160+G160)/3)*(1+Parâmetros!E11)*(1+Parâmetros!E14)</f>
        <v>0</v>
      </c>
      <c r="I160" s="147">
        <f>((F160+G160+H160)/3)*(1+Parâmetros!F11)*(1+Parâmetros!F14)</f>
        <v>0</v>
      </c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</row>
    <row r="161" spans="1:177" s="40" customFormat="1" ht="15">
      <c r="A161" s="158"/>
      <c r="B161" s="159" t="s">
        <v>303</v>
      </c>
      <c r="C161" s="70"/>
      <c r="D161" s="70"/>
      <c r="E161" s="70"/>
      <c r="F161" s="147">
        <f>((C161+D161+E161)/3)*(1+Parâmetros!C11)*(1+Parâmetros!C14)</f>
        <v>0</v>
      </c>
      <c r="G161" s="147">
        <f>((D161+E161+F161)/3)*(1+Parâmetros!D11)*(1+Parâmetros!D14)</f>
        <v>0</v>
      </c>
      <c r="H161" s="147">
        <f>((E161+F161+G161)/3)*(1+Parâmetros!E11)*(1+Parâmetros!E14)</f>
        <v>0</v>
      </c>
      <c r="I161" s="147">
        <f>((F161+G161+H161)/3)*(1+Parâmetros!F11)*(1+Parâmetros!F14)</f>
        <v>0</v>
      </c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</row>
    <row r="162" spans="1:177" s="40" customFormat="1" ht="15">
      <c r="A162" s="158"/>
      <c r="B162" s="159" t="s">
        <v>305</v>
      </c>
      <c r="C162" s="70"/>
      <c r="D162" s="70"/>
      <c r="E162" s="70"/>
      <c r="F162" s="147">
        <f>((C162+D162+E162)/3)*(1+Parâmetros!C11)*(1+Parâmetros!C14)</f>
        <v>0</v>
      </c>
      <c r="G162" s="147">
        <f>((D162+E162+F162)/3)*(1+Parâmetros!D11)*(1+Parâmetros!D14)</f>
        <v>0</v>
      </c>
      <c r="H162" s="147">
        <f>((E162+F162+G162)/3)*(1+Parâmetros!E11)*(1+Parâmetros!E14)</f>
        <v>0</v>
      </c>
      <c r="I162" s="147">
        <f>((F162+G162+H162)/3)*(1+Parâmetros!F11)*(1+Parâmetros!F14)</f>
        <v>0</v>
      </c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</row>
    <row r="163" spans="1:177" s="40" customFormat="1" ht="15">
      <c r="A163" s="158"/>
      <c r="B163" s="159" t="s">
        <v>304</v>
      </c>
      <c r="C163" s="70"/>
      <c r="D163" s="70"/>
      <c r="E163" s="70"/>
      <c r="F163" s="147">
        <f>((C163+D163+E163)/3)*(1+Parâmetros!C11)*(1+Parâmetros!C14)</f>
        <v>0</v>
      </c>
      <c r="G163" s="147">
        <f>((D163+E163+F163)/3)*(1+Parâmetros!D11)*(1+Parâmetros!D14)</f>
        <v>0</v>
      </c>
      <c r="H163" s="147">
        <f>((E163+F163+G163)/3)*(1+Parâmetros!E11)*(1+Parâmetros!E14)</f>
        <v>0</v>
      </c>
      <c r="I163" s="147">
        <f>((F163+G163+H163)/3)*(1+Parâmetros!F11)*(1+Parâmetros!F14)</f>
        <v>0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</row>
    <row r="164" spans="1:177" s="40" customFormat="1" ht="15">
      <c r="A164" s="158"/>
      <c r="B164" s="159" t="s">
        <v>306</v>
      </c>
      <c r="C164" s="70"/>
      <c r="D164" s="70"/>
      <c r="E164" s="70"/>
      <c r="F164" s="147">
        <f>((C164+D164+E164)/3)*(1+Parâmetros!C11)*(1+Parâmetros!C14)</f>
        <v>0</v>
      </c>
      <c r="G164" s="147">
        <f>((D164+E164+F164)/3)*(1+Parâmetros!D11)*(1+Parâmetros!D14)</f>
        <v>0</v>
      </c>
      <c r="H164" s="147">
        <f>((E164+F164+G164)/3)*(1+Parâmetros!E11)*(1+Parâmetros!E14)</f>
        <v>0</v>
      </c>
      <c r="I164" s="147">
        <f>((F164+G164+H164)/3)*(1+Parâmetros!F11)*(1+Parâmetros!F14)</f>
        <v>0</v>
      </c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</row>
    <row r="165" spans="1:177" s="40" customFormat="1" ht="15.75">
      <c r="A165" s="156" t="s">
        <v>307</v>
      </c>
      <c r="B165" s="157" t="s">
        <v>308</v>
      </c>
      <c r="C165" s="163">
        <f aca="true" t="shared" si="31" ref="C165:I165">SUM(C166:C171)</f>
        <v>2322168.17</v>
      </c>
      <c r="D165" s="163">
        <f t="shared" si="31"/>
        <v>2363513.07</v>
      </c>
      <c r="E165" s="163">
        <f t="shared" si="31"/>
        <v>2492000</v>
      </c>
      <c r="F165" s="163">
        <f t="shared" si="31"/>
        <v>2557168.569770667</v>
      </c>
      <c r="G165" s="163">
        <f t="shared" si="31"/>
        <v>2565776.20491262</v>
      </c>
      <c r="H165" s="163">
        <f t="shared" si="31"/>
        <v>2620810.159953498</v>
      </c>
      <c r="I165" s="163">
        <f t="shared" si="31"/>
        <v>2658689.1942252954</v>
      </c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</row>
    <row r="166" spans="1:177" s="40" customFormat="1" ht="15.75">
      <c r="A166" s="156"/>
      <c r="B166" s="159" t="s">
        <v>309</v>
      </c>
      <c r="C166" s="70">
        <v>6943.08</v>
      </c>
      <c r="D166" s="70">
        <v>7445.58</v>
      </c>
      <c r="E166" s="70"/>
      <c r="F166" s="147">
        <f>((C166+D166+E166)/3)*(1+Parâmetros!B11)*(1+Parâmetros!C14)</f>
        <v>5126.199936</v>
      </c>
      <c r="G166" s="147">
        <f>((D166+E166+F166)/3)*(1+Parâmetros!C11)*(1+Parâmetros!D14)</f>
        <v>4351.5120951808</v>
      </c>
      <c r="H166" s="147">
        <f>((E166+F166+G166)/3)*(1+Parâmetros!D11)*(1+Parâmetros!E14)</f>
        <v>3261.912557398058</v>
      </c>
      <c r="I166" s="147">
        <f>((F166+G166+H166)/3)*(1+Parâmetros!E11)*(1+Parâmetros!F14)</f>
        <v>4373.937775412074</v>
      </c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</row>
    <row r="167" spans="1:177" s="40" customFormat="1" ht="15.75">
      <c r="A167" s="156"/>
      <c r="B167" s="159" t="s">
        <v>310</v>
      </c>
      <c r="C167" s="70">
        <v>281752.44</v>
      </c>
      <c r="D167" s="70">
        <v>320276.02</v>
      </c>
      <c r="E167" s="70">
        <v>328000</v>
      </c>
      <c r="F167" s="147">
        <f>((C167+D167+E167)/3)*(1+Parâmetros!B11)*(1+Parâmetros!C14)</f>
        <v>331338.1393493333</v>
      </c>
      <c r="G167" s="147">
        <f>((D167+E167+F167)/3)*(1+Parâmetros!C11)*(1+Parâmetros!D14)</f>
        <v>339077.1143561159</v>
      </c>
      <c r="H167" s="147">
        <f>((E167+F167+G167)/3)*(1+Parâmetros!D11)*(1+Parâmetros!E14)</f>
        <v>343621.24981695873</v>
      </c>
      <c r="I167" s="147">
        <f>((F167+G167+H167)/3)*(1+Parâmetros!E11)*(1+Parâmetros!F14)</f>
        <v>348152.5328760267</v>
      </c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</row>
    <row r="168" spans="1:177" s="8" customFormat="1" ht="15">
      <c r="A168" s="158"/>
      <c r="B168" s="159" t="s">
        <v>311</v>
      </c>
      <c r="C168" s="70">
        <v>1360665.08</v>
      </c>
      <c r="D168" s="70">
        <v>1388583.05</v>
      </c>
      <c r="E168" s="70">
        <v>1436000</v>
      </c>
      <c r="F168" s="147">
        <f>((C168+D168+E168)/3)*(1+Parâmetros!B11)*(1+Parâmetros!C14)</f>
        <v>1491064.4004479998</v>
      </c>
      <c r="G168" s="147">
        <f>((D168+E168+F168)/3)*(1+Parâmetros!C11)*(1+Parâmetros!D14)</f>
        <v>1493789.4375150676</v>
      </c>
      <c r="H168" s="147">
        <f>((E168+F168+G168)/3)*(1+Parâmetros!D11)*(1+Parâmetros!E14)</f>
        <v>1521510.5292322892</v>
      </c>
      <c r="I168" s="147">
        <f>((F168+G168+H168)/3)*(1+Parâmetros!E11)*(1+Parâmetros!F14)</f>
        <v>1547185.0994037392</v>
      </c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</row>
    <row r="169" spans="1:177" s="8" customFormat="1" ht="15">
      <c r="A169" s="158"/>
      <c r="B169" s="159" t="s">
        <v>312</v>
      </c>
      <c r="C169" s="70">
        <v>20118.03</v>
      </c>
      <c r="D169" s="70">
        <v>14350.38</v>
      </c>
      <c r="E169" s="70">
        <v>15000</v>
      </c>
      <c r="F169" s="147">
        <f>((C169+D169+E169)/3)*(1+Parâmetros!B11)*(1+Parâmetros!C14)</f>
        <v>17623.945535999996</v>
      </c>
      <c r="G169" s="147">
        <f>((D169+E169+F169)/3)*(1+Parâmetros!C11)*(1+Parâmetros!D14)</f>
        <v>16259.379878860796</v>
      </c>
      <c r="H169" s="147">
        <f>((E169+F169+G169)/3)*(1+Parâmetros!D11)*(1+Parâmetros!E14)</f>
        <v>16824.01116361459</v>
      </c>
      <c r="I169" s="147">
        <f>((F169+G169+H169)/3)*(1+Parâmetros!E11)*(1+Parâmetros!F14)</f>
        <v>17409.51889194322</v>
      </c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</row>
    <row r="170" spans="1:177" s="8" customFormat="1" ht="15">
      <c r="A170" s="158"/>
      <c r="B170" s="159" t="s">
        <v>313</v>
      </c>
      <c r="C170" s="70">
        <v>3419.94</v>
      </c>
      <c r="D170" s="70">
        <v>3561</v>
      </c>
      <c r="E170" s="70">
        <v>5000</v>
      </c>
      <c r="F170" s="147">
        <f>((C170+D170+E170)/3)*(1+Parâmetros!B11)*(1+Parâmetros!C14)</f>
        <v>4268.409557333333</v>
      </c>
      <c r="G170" s="147">
        <f>((D170+E170+F170)/3)*(1+Parâmetros!C11)*(1+Parâmetros!D14)</f>
        <v>4440.68629477831</v>
      </c>
      <c r="H170" s="147">
        <f>((E170+F170+G170)/3)*(1+Parâmetros!D11)*(1+Parâmetros!E14)</f>
        <v>4718.21382243509</v>
      </c>
      <c r="I170" s="147">
        <f>((F170+G170+H170)/3)*(1+Parâmetros!E11)*(1+Parâmetros!F14)</f>
        <v>4610.042988261045</v>
      </c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</row>
    <row r="171" spans="1:177" s="8" customFormat="1" ht="15">
      <c r="A171" s="158"/>
      <c r="B171" s="159" t="s">
        <v>314</v>
      </c>
      <c r="C171" s="195">
        <f>2322168.17-(SUM(C166:C170))</f>
        <v>649269.5999999999</v>
      </c>
      <c r="D171" s="195">
        <f>2363513.07-(SUM(D166:D170))</f>
        <v>629297.0399999998</v>
      </c>
      <c r="E171" s="195">
        <f>2492000-(SUM(E166:E170))</f>
        <v>708000</v>
      </c>
      <c r="F171" s="147">
        <f>((C171+D171+E171)/3)*(1+Parâmetros!B11)*(1+Parâmetros!C14)</f>
        <v>707747.4749439999</v>
      </c>
      <c r="G171" s="147">
        <f>((D171+E171+F171)/3)*(1+Parâmetros!C11)*(1+Parâmetros!D14)</f>
        <v>707858.0747726165</v>
      </c>
      <c r="H171" s="147">
        <f>((E171+F171+G171)/3)*(1+Parâmetros!D11)*(1+Parâmetros!E14)</f>
        <v>730874.2433608022</v>
      </c>
      <c r="I171" s="147">
        <f>((F171+G171+H171)/3)*(1+Parâmetros!E11)*(1+Parâmetros!F14)</f>
        <v>736958.0622899137</v>
      </c>
      <c r="J171" s="49"/>
      <c r="K171" s="66" t="s">
        <v>223</v>
      </c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</row>
    <row r="172" spans="1:177" s="40" customFormat="1" ht="15.75">
      <c r="A172" s="156" t="s">
        <v>298</v>
      </c>
      <c r="B172" s="157" t="s">
        <v>299</v>
      </c>
      <c r="C172" s="163">
        <f aca="true" t="shared" si="32" ref="C172:I172">SUM(C173:C178)</f>
        <v>933140.06</v>
      </c>
      <c r="D172" s="163">
        <f t="shared" si="32"/>
        <v>942573.41</v>
      </c>
      <c r="E172" s="163">
        <f t="shared" si="32"/>
        <v>999000</v>
      </c>
      <c r="F172" s="163">
        <f t="shared" si="32"/>
        <v>1024000.3587999999</v>
      </c>
      <c r="G172" s="163">
        <f t="shared" si="32"/>
        <v>1026453.1997946366</v>
      </c>
      <c r="H172" s="163">
        <f t="shared" si="32"/>
        <v>1049505.526333763</v>
      </c>
      <c r="I172" s="163">
        <f t="shared" si="32"/>
        <v>1064319.2858254174</v>
      </c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</row>
    <row r="173" spans="1:177" s="40" customFormat="1" ht="15.75">
      <c r="A173" s="160"/>
      <c r="B173" s="159" t="s">
        <v>317</v>
      </c>
      <c r="C173" s="70"/>
      <c r="D173" s="70"/>
      <c r="E173" s="70"/>
      <c r="F173" s="147">
        <f>((C173+D173+E173)/3)*(1+Parâmetros!C11)</f>
        <v>0</v>
      </c>
      <c r="G173" s="147">
        <f>((D173+E173+F173)/3)*(1+Parâmetros!D11)</f>
        <v>0</v>
      </c>
      <c r="H173" s="147">
        <f>((E173+F173+G173)/3)*(1+Parâmetros!E11)</f>
        <v>0</v>
      </c>
      <c r="I173" s="147">
        <f>((F173+G173+H173)/3)*(1+Parâmetros!F11)</f>
        <v>0</v>
      </c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</row>
    <row r="174" spans="1:177" s="8" customFormat="1" ht="15">
      <c r="A174" s="158"/>
      <c r="B174" s="159" t="s">
        <v>318</v>
      </c>
      <c r="C174" s="70">
        <f>2467.28+293.03</f>
        <v>2760.3100000000004</v>
      </c>
      <c r="D174" s="70">
        <f>664.85+712.98</f>
        <v>1377.83</v>
      </c>
      <c r="E174" s="70">
        <v>1000</v>
      </c>
      <c r="F174" s="147">
        <f>((C174+D174+E174)/3)*(1+Parâmetros!C11)</f>
        <v>1778.4815253333334</v>
      </c>
      <c r="G174" s="147">
        <f>((D174+E174+F174)/3)*(1+Parâmetros!D11)</f>
        <v>1430.4638833022223</v>
      </c>
      <c r="H174" s="147">
        <f>((E174+F174+G174)/3)*(1+Parâmetros!E11)</f>
        <v>1445.0712569648742</v>
      </c>
      <c r="I174" s="147">
        <f>((F174+G174+H174)/3)*(1+Parâmetros!F11)</f>
        <v>1597.8790551894808</v>
      </c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</row>
    <row r="175" spans="1:177" s="8" customFormat="1" ht="15">
      <c r="A175" s="158"/>
      <c r="B175" s="159" t="s">
        <v>319</v>
      </c>
      <c r="C175" s="70">
        <f>1084.12+2344.32</f>
        <v>3428.44</v>
      </c>
      <c r="D175" s="70">
        <v>1940.01</v>
      </c>
      <c r="E175" s="70">
        <f>3200+2500</f>
        <v>5700</v>
      </c>
      <c r="F175" s="147">
        <f>((C175+D175+E175)/3)*(1+Parâmetros!C11)</f>
        <v>3831.1594933333336</v>
      </c>
      <c r="G175" s="147">
        <f>((D175+E175+F175)/3)*(1+Parâmetros!D11)</f>
        <v>3947.9941672888895</v>
      </c>
      <c r="H175" s="147">
        <f>((E175+F175+G175)/3)*(1+Parâmetros!E11)</f>
        <v>4627.842756813629</v>
      </c>
      <c r="I175" s="147">
        <f>((F175+G175+H175)/3)*(1+Parâmetros!F11)</f>
        <v>4259.735436652976</v>
      </c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</row>
    <row r="176" spans="1:177" s="8" customFormat="1" ht="15">
      <c r="A176" s="158"/>
      <c r="B176" s="159" t="s">
        <v>327</v>
      </c>
      <c r="C176" s="70"/>
      <c r="D176" s="70"/>
      <c r="E176" s="70"/>
      <c r="F176" s="147">
        <f>((C176+D176+E176)/3)*(1+Parâmetros!C11)</f>
        <v>0</v>
      </c>
      <c r="G176" s="147">
        <f>((D176+E176+F176)/3)*(1+Parâmetros!D11)</f>
        <v>0</v>
      </c>
      <c r="H176" s="147">
        <f>((E176+F176+G176)/3)*(1+Parâmetros!E11)</f>
        <v>0</v>
      </c>
      <c r="I176" s="147">
        <f>((F176+G176+H176)/3)*(1+Parâmetros!F11)</f>
        <v>0</v>
      </c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</row>
    <row r="177" spans="1:177" s="8" customFormat="1" ht="15">
      <c r="A177" s="158"/>
      <c r="B177" s="159" t="s">
        <v>320</v>
      </c>
      <c r="C177" s="70"/>
      <c r="D177" s="70"/>
      <c r="E177" s="70"/>
      <c r="F177" s="147">
        <f>((C177+D177+E177)/3)*(1+Parâmetros!C11)</f>
        <v>0</v>
      </c>
      <c r="G177" s="147">
        <f>((D177+E177+F177)/3)*(1+Parâmetros!D11)</f>
        <v>0</v>
      </c>
      <c r="H177" s="147">
        <f>((E177+F177+G177)/3)*(1+Parâmetros!E11)</f>
        <v>0</v>
      </c>
      <c r="I177" s="147">
        <f>((F177+G177+H177)/3)*(1+Parâmetros!F11)</f>
        <v>0</v>
      </c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</row>
    <row r="178" spans="1:177" s="8" customFormat="1" ht="15">
      <c r="A178" s="158"/>
      <c r="B178" s="159" t="s">
        <v>321</v>
      </c>
      <c r="C178" s="195">
        <f>933140.06-(SUM(C173:C177))</f>
        <v>926951.31</v>
      </c>
      <c r="D178" s="195">
        <f>942573.41-(SUM(D173:D177))</f>
        <v>939255.5700000001</v>
      </c>
      <c r="E178" s="195">
        <f>999000-(SUM(E173:E177))</f>
        <v>992300</v>
      </c>
      <c r="F178" s="147">
        <f>((C178+D178+E178)/3)*(1+Parâmetros!B11)</f>
        <v>1018390.7177813333</v>
      </c>
      <c r="G178" s="147">
        <f>((D178+E178+F178)/3)*(1+Parâmetros!C11)</f>
        <v>1021074.7417440455</v>
      </c>
      <c r="H178" s="147">
        <f>((E178+F178+G178)/3)*(1+Parâmetros!D11)</f>
        <v>1043432.6123199846</v>
      </c>
      <c r="I178" s="147">
        <f>((F178+G178+H178)/3)*(1+Parâmetros!E11)</f>
        <v>1058461.671333575</v>
      </c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</row>
    <row r="179" spans="1:177" s="8" customFormat="1" ht="15.75">
      <c r="A179" s="156" t="s">
        <v>322</v>
      </c>
      <c r="B179" s="157" t="s">
        <v>323</v>
      </c>
      <c r="C179" s="163">
        <f aca="true" t="shared" si="33" ref="C179:I179">SUM(C180:C185)</f>
        <v>308322.25</v>
      </c>
      <c r="D179" s="163">
        <f t="shared" si="33"/>
        <v>362899.1</v>
      </c>
      <c r="E179" s="163">
        <f t="shared" si="33"/>
        <v>401000</v>
      </c>
      <c r="F179" s="163">
        <f t="shared" si="33"/>
        <v>371131.5499466667</v>
      </c>
      <c r="G179" s="163">
        <f t="shared" si="33"/>
        <v>390639.7153566445</v>
      </c>
      <c r="H179" s="163">
        <f t="shared" si="33"/>
        <v>399218.1344208035</v>
      </c>
      <c r="I179" s="163">
        <f t="shared" si="33"/>
        <v>398606.3605719461</v>
      </c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</row>
    <row r="180" spans="1:177" s="8" customFormat="1" ht="15">
      <c r="A180" s="158"/>
      <c r="B180" s="159" t="s">
        <v>324</v>
      </c>
      <c r="C180" s="70"/>
      <c r="D180" s="70"/>
      <c r="E180" s="70"/>
      <c r="F180" s="147">
        <f>((C180+D180+E180)/3)*(1+Parâmetros!C11)</f>
        <v>0</v>
      </c>
      <c r="G180" s="147">
        <f>((D180+E180+F180)/3)*(1+Parâmetros!D11)</f>
        <v>0</v>
      </c>
      <c r="H180" s="147">
        <f>((E180+F180+G180)/3)*(1+Parâmetros!E11)</f>
        <v>0</v>
      </c>
      <c r="I180" s="147">
        <f>((F180+G180+H180)/3)*(1+Parâmetros!F11)</f>
        <v>0</v>
      </c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</row>
    <row r="181" spans="1:177" s="8" customFormat="1" ht="15">
      <c r="A181" s="158"/>
      <c r="B181" s="159" t="s">
        <v>325</v>
      </c>
      <c r="C181" s="70"/>
      <c r="D181" s="70"/>
      <c r="E181" s="70"/>
      <c r="F181" s="147">
        <f>((C181+D181+E181)/3)*(1+Parâmetros!C11)</f>
        <v>0</v>
      </c>
      <c r="G181" s="147">
        <f>((D181+E181+F181)/3)*(1+Parâmetros!D11)</f>
        <v>0</v>
      </c>
      <c r="H181" s="147">
        <f>((E181+F181+G181)/3)*(1+Parâmetros!E11)</f>
        <v>0</v>
      </c>
      <c r="I181" s="147">
        <f>((F181+G181+H181)/3)*(1+Parâmetros!F11)</f>
        <v>0</v>
      </c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</row>
    <row r="182" spans="1:177" s="8" customFormat="1" ht="15">
      <c r="A182" s="158"/>
      <c r="B182" s="159" t="s">
        <v>326</v>
      </c>
      <c r="C182" s="70"/>
      <c r="D182" s="70"/>
      <c r="E182" s="70"/>
      <c r="F182" s="147">
        <f>((C182+D182+E182)/3)*(1+Parâmetros!C11)</f>
        <v>0</v>
      </c>
      <c r="G182" s="147">
        <f>((D182+E182+F182)/3)*(1+Parâmetros!D11)</f>
        <v>0</v>
      </c>
      <c r="H182" s="147">
        <f>((E182+F182+G182)/3)*(1+Parâmetros!E11)</f>
        <v>0</v>
      </c>
      <c r="I182" s="147">
        <f>((F182+G182+H182)/3)*(1+Parâmetros!F11)</f>
        <v>0</v>
      </c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</row>
    <row r="183" spans="1:177" s="8" customFormat="1" ht="15">
      <c r="A183" s="158"/>
      <c r="B183" s="159" t="s">
        <v>328</v>
      </c>
      <c r="C183" s="70"/>
      <c r="D183" s="70"/>
      <c r="E183" s="70"/>
      <c r="F183" s="147">
        <f>((C183+D183+E183)/3)*(1+Parâmetros!C11)</f>
        <v>0</v>
      </c>
      <c r="G183" s="147">
        <f>((D183+E183+F183)/3)*(1+Parâmetros!D11)</f>
        <v>0</v>
      </c>
      <c r="H183" s="147">
        <f>((E183+F183+G183)/3)*(1+Parâmetros!E11)</f>
        <v>0</v>
      </c>
      <c r="I183" s="147">
        <f>((F183+G183+H183)/3)*(1+Parâmetros!F11)</f>
        <v>0</v>
      </c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</row>
    <row r="184" spans="1:177" s="8" customFormat="1" ht="15">
      <c r="A184" s="158"/>
      <c r="B184" s="159" t="s">
        <v>329</v>
      </c>
      <c r="C184" s="70"/>
      <c r="D184" s="70"/>
      <c r="E184" s="70"/>
      <c r="F184" s="147">
        <f>((C184+D184+E184)/3)*(1+Parâmetros!C11)</f>
        <v>0</v>
      </c>
      <c r="G184" s="147">
        <f>((D184+E184+F184)/3)*(1+Parâmetros!D11)</f>
        <v>0</v>
      </c>
      <c r="H184" s="147">
        <f>((E184+F184+G184)/3)*(1+Parâmetros!E11)</f>
        <v>0</v>
      </c>
      <c r="I184" s="147">
        <f>((F184+G184+H184)/3)*(1+Parâmetros!F11)</f>
        <v>0</v>
      </c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</row>
    <row r="185" spans="1:177" s="8" customFormat="1" ht="15">
      <c r="A185" s="158"/>
      <c r="B185" s="159" t="s">
        <v>330</v>
      </c>
      <c r="C185" s="70">
        <v>308322.25</v>
      </c>
      <c r="D185" s="70">
        <v>362899.1</v>
      </c>
      <c r="E185" s="70">
        <v>401000</v>
      </c>
      <c r="F185" s="147">
        <f>((C185+D185+E185)/3)*(1+Parâmetros!C11)</f>
        <v>371131.5499466667</v>
      </c>
      <c r="G185" s="147">
        <f>((D185+E185+F185)/3)*(1+Parâmetros!D11)</f>
        <v>390639.7153566445</v>
      </c>
      <c r="H185" s="147">
        <f>((E185+F185+G185)/3)*(1+Parâmetros!E11)</f>
        <v>399218.1344208035</v>
      </c>
      <c r="I185" s="147">
        <f>((F185+G185+H185)/3)*(1+Parâmetros!F11)</f>
        <v>398606.3605719461</v>
      </c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</row>
    <row r="186" spans="1:177" s="8" customFormat="1" ht="15.75">
      <c r="A186" s="156" t="s">
        <v>331</v>
      </c>
      <c r="B186" s="157" t="s">
        <v>332</v>
      </c>
      <c r="C186" s="163">
        <f aca="true" t="shared" si="34" ref="C186:I186">SUM(C187:C192)</f>
        <v>336880.15</v>
      </c>
      <c r="D186" s="163">
        <f t="shared" si="34"/>
        <v>360799.42</v>
      </c>
      <c r="E186" s="163">
        <f t="shared" si="34"/>
        <v>242600</v>
      </c>
      <c r="F186" s="163">
        <f t="shared" si="34"/>
        <v>325462.1018293333</v>
      </c>
      <c r="G186" s="163">
        <f t="shared" si="34"/>
        <v>319683.17376292887</v>
      </c>
      <c r="H186" s="163">
        <f t="shared" si="34"/>
        <v>304792.54462001</v>
      </c>
      <c r="I186" s="163">
        <f t="shared" si="34"/>
        <v>326145.31827288016</v>
      </c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</row>
    <row r="187" spans="1:177" s="8" customFormat="1" ht="15">
      <c r="A187" s="158"/>
      <c r="B187" s="159" t="s">
        <v>333</v>
      </c>
      <c r="C187" s="70"/>
      <c r="D187" s="70"/>
      <c r="E187" s="70"/>
      <c r="F187" s="147">
        <f>((C187+D187+E187)/3)*(1+Parâmetros!C11)</f>
        <v>0</v>
      </c>
      <c r="G187" s="147">
        <f>((D187+E187+F187)/3)*(1+Parâmetros!D11)</f>
        <v>0</v>
      </c>
      <c r="H187" s="147">
        <f>((E187+F187+G187)/3)*(1+Parâmetros!E11)</f>
        <v>0</v>
      </c>
      <c r="I187" s="147">
        <f>((F187+G187+H187)/3)*(1+Parâmetros!F11)</f>
        <v>0</v>
      </c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</row>
    <row r="188" spans="1:177" s="8" customFormat="1" ht="15">
      <c r="A188" s="158"/>
      <c r="B188" s="159" t="s">
        <v>334</v>
      </c>
      <c r="C188" s="70">
        <v>63874.7</v>
      </c>
      <c r="D188" s="70">
        <v>61061.2</v>
      </c>
      <c r="E188" s="70">
        <v>64000</v>
      </c>
      <c r="F188" s="147">
        <f>((C188+D188+E188)/3)*(1+Parâmetros!C11)</f>
        <v>65397.01285333333</v>
      </c>
      <c r="G188" s="147">
        <f>((D188+E188+F188)/3)*(1+Parâmetros!D11)</f>
        <v>65549.36825702222</v>
      </c>
      <c r="H188" s="147">
        <f>((E188+F188+G188)/3)*(1+Parâmetros!E11)</f>
        <v>66931.59084788874</v>
      </c>
      <c r="I188" s="147">
        <f>((F188+G188+H188)/3)*(1+Parâmetros!F11)</f>
        <v>67938.10370566386</v>
      </c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</row>
    <row r="189" spans="1:177" s="8" customFormat="1" ht="15">
      <c r="A189" s="158"/>
      <c r="B189" s="159" t="s">
        <v>335</v>
      </c>
      <c r="C189" s="70">
        <v>28244.82</v>
      </c>
      <c r="D189" s="70"/>
      <c r="E189" s="70"/>
      <c r="F189" s="147">
        <f>((C189+D189+E189)/3)*(1+Parâmetros!C11)</f>
        <v>9776.473696000001</v>
      </c>
      <c r="G189" s="147">
        <f>((D189+E189+F189)/3)*(1+Parâmetros!D11)</f>
        <v>3364.736363706667</v>
      </c>
      <c r="H189" s="147">
        <f>((E189+F189+G189)/3)*(1+Parâmetros!E11)</f>
        <v>4511.815453832623</v>
      </c>
      <c r="I189" s="147">
        <f>((F189+G189+H189)/3)*(1+Parâmetros!F11)</f>
        <v>6060.872092981824</v>
      </c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</row>
    <row r="190" spans="1:177" s="8" customFormat="1" ht="15">
      <c r="A190" s="158"/>
      <c r="B190" s="159" t="s">
        <v>336</v>
      </c>
      <c r="C190" s="70"/>
      <c r="D190" s="70"/>
      <c r="E190" s="70"/>
      <c r="F190" s="147">
        <f>((C190+D190+E190)/3)*(1+Parâmetros!C11)</f>
        <v>0</v>
      </c>
      <c r="G190" s="147">
        <f>((D190+E190+F190)/3)*(1+Parâmetros!D11)</f>
        <v>0</v>
      </c>
      <c r="H190" s="147">
        <f>((E190+F190+G190)/3)*(1+Parâmetros!E11)</f>
        <v>0</v>
      </c>
      <c r="I190" s="147">
        <f>((F190+G190+H190)/3)*(1+Parâmetros!F11)</f>
        <v>0</v>
      </c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</row>
    <row r="191" spans="1:177" s="8" customFormat="1" ht="15">
      <c r="A191" s="158"/>
      <c r="B191" s="159" t="s">
        <v>337</v>
      </c>
      <c r="C191" s="70"/>
      <c r="D191" s="70"/>
      <c r="E191" s="70"/>
      <c r="F191" s="147">
        <f>((C191+D191+E191)/3)*(1+Parâmetros!C11)</f>
        <v>0</v>
      </c>
      <c r="G191" s="147">
        <f>((D191+E191+F191)/3)*(1+Parâmetros!D11)</f>
        <v>0</v>
      </c>
      <c r="H191" s="147">
        <f>((E191+F191+G191)/3)*(1+Parâmetros!E11)</f>
        <v>0</v>
      </c>
      <c r="I191" s="147">
        <f>((F191+G191+H191)/3)*(1+Parâmetros!F11)</f>
        <v>0</v>
      </c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</row>
    <row r="192" spans="1:177" s="8" customFormat="1" ht="15">
      <c r="A192" s="158"/>
      <c r="B192" s="159" t="s">
        <v>338</v>
      </c>
      <c r="C192" s="70">
        <f>99787.07+8614.41+66208.5+70150.65</f>
        <v>244760.63</v>
      </c>
      <c r="D192" s="70">
        <f>81604.93+218133.29</f>
        <v>299738.22</v>
      </c>
      <c r="E192" s="70">
        <f>68200+400+110000</f>
        <v>178600</v>
      </c>
      <c r="F192" s="147">
        <f>((C192+D192+E192)/3)*(1+Parâmetros!C11)</f>
        <v>250288.61527999997</v>
      </c>
      <c r="G192" s="147">
        <f>((D192+E192+F192)/3)*(1+Parâmetros!D11)</f>
        <v>250769.0691422</v>
      </c>
      <c r="H192" s="147">
        <f>((E192+F192+G192)/3)*(1+Parâmetros!E11)</f>
        <v>233349.13831828866</v>
      </c>
      <c r="I192" s="147">
        <f>((F192+G192+H192)/3)*(1+Parâmetros!F11)</f>
        <v>252146.34247423447</v>
      </c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</row>
    <row r="193" spans="1:177" s="8" customFormat="1" ht="15.75">
      <c r="A193" s="156" t="s">
        <v>339</v>
      </c>
      <c r="B193" s="157" t="s">
        <v>332</v>
      </c>
      <c r="C193" s="163">
        <f aca="true" t="shared" si="35" ref="C193:I193">SUM(C194:C199)</f>
        <v>198842.59</v>
      </c>
      <c r="D193" s="163">
        <f t="shared" si="35"/>
        <v>58519.84</v>
      </c>
      <c r="E193" s="163">
        <f t="shared" si="35"/>
        <v>400</v>
      </c>
      <c r="F193" s="163">
        <f t="shared" si="35"/>
        <v>89220.16910399999</v>
      </c>
      <c r="G193" s="163">
        <f t="shared" si="35"/>
        <v>50984.853133293334</v>
      </c>
      <c r="H193" s="163">
        <f t="shared" si="35"/>
        <v>48274.39096813738</v>
      </c>
      <c r="I193" s="163">
        <f t="shared" si="35"/>
        <v>64711.26520053121</v>
      </c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</row>
    <row r="194" spans="1:177" s="8" customFormat="1" ht="15">
      <c r="A194" s="158"/>
      <c r="B194" s="159" t="s">
        <v>333</v>
      </c>
      <c r="C194" s="70"/>
      <c r="D194" s="70"/>
      <c r="E194" s="70"/>
      <c r="F194" s="147">
        <f>((C194+D194+E194)/3)*(1+Parâmetros!C11)</f>
        <v>0</v>
      </c>
      <c r="G194" s="147">
        <f>((D194+E194+F194)/3)*(1+Parâmetros!D11)</f>
        <v>0</v>
      </c>
      <c r="H194" s="147">
        <f>((E194+F194+G194)/3)*(1+Parâmetros!E11)</f>
        <v>0</v>
      </c>
      <c r="I194" s="147">
        <f>((F194+G194+H194)/3)*(1+Parâmetros!F11)</f>
        <v>0</v>
      </c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</row>
    <row r="195" spans="1:177" s="8" customFormat="1" ht="15">
      <c r="A195" s="158"/>
      <c r="B195" s="159" t="s">
        <v>334</v>
      </c>
      <c r="C195" s="70"/>
      <c r="D195" s="70"/>
      <c r="E195" s="70"/>
      <c r="F195" s="147">
        <f>((C195+D195+E195)/3)*(1+Parâmetros!C11)</f>
        <v>0</v>
      </c>
      <c r="G195" s="147">
        <f>((D195+E195+F195)/3)*(1+Parâmetros!D11)</f>
        <v>0</v>
      </c>
      <c r="H195" s="147">
        <f>((E195+F195+G195)/3)*(1+Parâmetros!E11)</f>
        <v>0</v>
      </c>
      <c r="I195" s="147">
        <f>((F195+G195+H195)/3)*(1+Parâmetros!F11)</f>
        <v>0</v>
      </c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</row>
    <row r="196" spans="1:177" s="8" customFormat="1" ht="15">
      <c r="A196" s="158"/>
      <c r="B196" s="159" t="s">
        <v>335</v>
      </c>
      <c r="C196" s="70"/>
      <c r="D196" s="70"/>
      <c r="E196" s="70"/>
      <c r="F196" s="147">
        <f>((C196+D196+E196)/3)*(1+Parâmetros!C11)</f>
        <v>0</v>
      </c>
      <c r="G196" s="147">
        <f>((D196+E196+F196)/3)*(1+Parâmetros!D11)</f>
        <v>0</v>
      </c>
      <c r="H196" s="147">
        <f>((E196+F196+G196)/3)*(1+Parâmetros!E11)</f>
        <v>0</v>
      </c>
      <c r="I196" s="147">
        <f>((F196+G196+H196)/3)*(1+Parâmetros!F11)</f>
        <v>0</v>
      </c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</row>
    <row r="197" spans="1:177" s="8" customFormat="1" ht="15">
      <c r="A197" s="158"/>
      <c r="B197" s="159" t="s">
        <v>336</v>
      </c>
      <c r="C197" s="70">
        <v>9539.51</v>
      </c>
      <c r="D197" s="70"/>
      <c r="E197" s="70"/>
      <c r="F197" s="147">
        <f>((C197+D197+E197)/3)*(1+Parâmetros!C11)</f>
        <v>3301.9423946666666</v>
      </c>
      <c r="G197" s="147">
        <f>((D197+E197+F197)/3)*(1+Parâmetros!D11)</f>
        <v>1136.4185074977777</v>
      </c>
      <c r="H197" s="147">
        <f>((E197+F197+G197)/3)*(1+Parâmetros!E11)</f>
        <v>1523.8372430764593</v>
      </c>
      <c r="I197" s="147">
        <f>((F197+G197+H197)/3)*(1+Parâmetros!F11)</f>
        <v>2047.021363199377</v>
      </c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</row>
    <row r="198" spans="1:177" s="8" customFormat="1" ht="15">
      <c r="A198" s="158"/>
      <c r="B198" s="159" t="s">
        <v>337</v>
      </c>
      <c r="C198" s="70"/>
      <c r="D198" s="70"/>
      <c r="E198" s="70"/>
      <c r="F198" s="147">
        <f>((C198+D198+E198)/3)*(1+Parâmetros!C11)</f>
        <v>0</v>
      </c>
      <c r="G198" s="147">
        <f>((D198+E198+F198)/3)*(1+Parâmetros!D11)</f>
        <v>0</v>
      </c>
      <c r="H198" s="147">
        <f>((E198+F198+G198)/3)*(1+Parâmetros!E11)</f>
        <v>0</v>
      </c>
      <c r="I198" s="147">
        <f>((F198+G198+H198)/3)*(1+Parâmetros!F11)</f>
        <v>0</v>
      </c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</row>
    <row r="199" spans="1:177" s="8" customFormat="1" ht="15">
      <c r="A199" s="158"/>
      <c r="B199" s="159" t="s">
        <v>338</v>
      </c>
      <c r="C199" s="70">
        <f>39021.02+150282.06</f>
        <v>189303.08</v>
      </c>
      <c r="D199" s="70">
        <v>58519.84</v>
      </c>
      <c r="E199" s="70">
        <v>400</v>
      </c>
      <c r="F199" s="147">
        <f>((C199+D199+E199)/3)*(1+Parâmetros!C11)</f>
        <v>85918.22670933332</v>
      </c>
      <c r="G199" s="147">
        <f>((D199+E199+F199)/3)*(1+Parâmetros!D11)</f>
        <v>49848.434625795555</v>
      </c>
      <c r="H199" s="147">
        <f>((E199+F199+G199)/3)*(1+Parâmetros!E11)</f>
        <v>46750.55372506092</v>
      </c>
      <c r="I199" s="147">
        <f>((F199+G199+H199)/3)*(1+Parâmetros!F11)</f>
        <v>62664.24383733184</v>
      </c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</row>
    <row r="200" spans="1:177" s="8" customFormat="1" ht="15.75">
      <c r="A200" s="156" t="s">
        <v>27</v>
      </c>
      <c r="B200" s="157" t="s">
        <v>340</v>
      </c>
      <c r="C200" s="163">
        <f aca="true" t="shared" si="36" ref="C200:I200">SUM(C201:C206)</f>
        <v>409885.08</v>
      </c>
      <c r="D200" s="163">
        <f t="shared" si="36"/>
        <v>758978.2</v>
      </c>
      <c r="E200" s="163">
        <f t="shared" si="36"/>
        <v>337500</v>
      </c>
      <c r="F200" s="163">
        <f t="shared" si="36"/>
        <v>502121.0933333333</v>
      </c>
      <c r="G200" s="163">
        <f t="shared" si="36"/>
        <v>532866.4311111111</v>
      </c>
      <c r="H200" s="163">
        <f t="shared" si="36"/>
        <v>457495.84148148145</v>
      </c>
      <c r="I200" s="163">
        <f t="shared" si="36"/>
        <v>497494.45530864195</v>
      </c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</row>
    <row r="201" spans="1:177" s="8" customFormat="1" ht="15">
      <c r="A201" s="158"/>
      <c r="B201" s="159" t="s">
        <v>341</v>
      </c>
      <c r="C201" s="70"/>
      <c r="D201" s="70"/>
      <c r="E201" s="70"/>
      <c r="F201" s="147">
        <f aca="true" t="shared" si="37" ref="F201:I206">((C201+D201+E201)/3)</f>
        <v>0</v>
      </c>
      <c r="G201" s="147">
        <f t="shared" si="37"/>
        <v>0</v>
      </c>
      <c r="H201" s="147">
        <f t="shared" si="37"/>
        <v>0</v>
      </c>
      <c r="I201" s="147">
        <f t="shared" si="37"/>
        <v>0</v>
      </c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</row>
    <row r="202" spans="1:177" s="8" customFormat="1" ht="15">
      <c r="A202" s="158"/>
      <c r="B202" s="159" t="s">
        <v>342</v>
      </c>
      <c r="C202" s="70"/>
      <c r="D202" s="70"/>
      <c r="E202" s="70"/>
      <c r="F202" s="147">
        <f t="shared" si="37"/>
        <v>0</v>
      </c>
      <c r="G202" s="147">
        <f t="shared" si="37"/>
        <v>0</v>
      </c>
      <c r="H202" s="147">
        <f t="shared" si="37"/>
        <v>0</v>
      </c>
      <c r="I202" s="147">
        <f t="shared" si="37"/>
        <v>0</v>
      </c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</row>
    <row r="203" spans="1:177" s="8" customFormat="1" ht="15">
      <c r="A203" s="158"/>
      <c r="B203" s="159" t="s">
        <v>343</v>
      </c>
      <c r="C203" s="70"/>
      <c r="D203" s="70"/>
      <c r="E203" s="70"/>
      <c r="F203" s="147">
        <f t="shared" si="37"/>
        <v>0</v>
      </c>
      <c r="G203" s="147">
        <f t="shared" si="37"/>
        <v>0</v>
      </c>
      <c r="H203" s="147">
        <f t="shared" si="37"/>
        <v>0</v>
      </c>
      <c r="I203" s="147">
        <f t="shared" si="37"/>
        <v>0</v>
      </c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</row>
    <row r="204" spans="1:177" s="8" customFormat="1" ht="15">
      <c r="A204" s="158"/>
      <c r="B204" s="159" t="s">
        <v>344</v>
      </c>
      <c r="C204" s="70"/>
      <c r="D204" s="70"/>
      <c r="E204" s="70"/>
      <c r="F204" s="147">
        <f t="shared" si="37"/>
        <v>0</v>
      </c>
      <c r="G204" s="147">
        <f t="shared" si="37"/>
        <v>0</v>
      </c>
      <c r="H204" s="147">
        <f t="shared" si="37"/>
        <v>0</v>
      </c>
      <c r="I204" s="147">
        <f t="shared" si="37"/>
        <v>0</v>
      </c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</row>
    <row r="205" spans="1:177" s="8" customFormat="1" ht="15">
      <c r="A205" s="158"/>
      <c r="B205" s="159" t="s">
        <v>345</v>
      </c>
      <c r="C205" s="70"/>
      <c r="D205" s="70"/>
      <c r="E205" s="70"/>
      <c r="F205" s="147">
        <f t="shared" si="37"/>
        <v>0</v>
      </c>
      <c r="G205" s="147">
        <f t="shared" si="37"/>
        <v>0</v>
      </c>
      <c r="H205" s="147">
        <f t="shared" si="37"/>
        <v>0</v>
      </c>
      <c r="I205" s="147">
        <f t="shared" si="37"/>
        <v>0</v>
      </c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</row>
    <row r="206" spans="1:177" s="8" customFormat="1" ht="15">
      <c r="A206" s="158"/>
      <c r="B206" s="159" t="s">
        <v>346</v>
      </c>
      <c r="C206" s="70">
        <v>409885.08</v>
      </c>
      <c r="D206" s="70">
        <v>758978.2</v>
      </c>
      <c r="E206" s="70">
        <v>337500</v>
      </c>
      <c r="F206" s="147">
        <f t="shared" si="37"/>
        <v>502121.0933333333</v>
      </c>
      <c r="G206" s="147">
        <f t="shared" si="37"/>
        <v>532866.4311111111</v>
      </c>
      <c r="H206" s="147">
        <f t="shared" si="37"/>
        <v>457495.84148148145</v>
      </c>
      <c r="I206" s="147">
        <f t="shared" si="37"/>
        <v>497494.45530864195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</row>
    <row r="207" spans="1:177" s="9" customFormat="1" ht="29.25" customHeight="1" thickBot="1">
      <c r="A207" s="161"/>
      <c r="B207" s="162" t="s">
        <v>347</v>
      </c>
      <c r="C207" s="164">
        <f aca="true" t="shared" si="38" ref="C207:I207">C144+C151+C158+C165+C172+C179+C186+C193+C200</f>
        <v>47494321.080000006</v>
      </c>
      <c r="D207" s="164">
        <f t="shared" si="38"/>
        <v>49054002.34</v>
      </c>
      <c r="E207" s="164">
        <f t="shared" si="38"/>
        <v>49024200</v>
      </c>
      <c r="F207" s="164">
        <f t="shared" si="38"/>
        <v>55385029.07722003</v>
      </c>
      <c r="G207" s="164">
        <f t="shared" si="38"/>
        <v>53827489.89450532</v>
      </c>
      <c r="H207" s="164">
        <f t="shared" si="38"/>
        <v>55197810.62148227</v>
      </c>
      <c r="I207" s="164">
        <f t="shared" si="38"/>
        <v>57215679.083122045</v>
      </c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</row>
    <row r="208" spans="1:177" s="1" customFormat="1" ht="17.25" customHeight="1" hidden="1">
      <c r="A208" s="17"/>
      <c r="B208" s="21" t="s">
        <v>26</v>
      </c>
      <c r="C208" s="42"/>
      <c r="D208" s="43"/>
      <c r="E208" s="43"/>
      <c r="F208" s="43"/>
      <c r="G208" s="43"/>
      <c r="H208" s="43"/>
      <c r="I208" s="43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</row>
    <row r="209" spans="1:177" s="1" customFormat="1" ht="17.25" customHeight="1" hidden="1">
      <c r="A209" s="18"/>
      <c r="B209" s="19" t="s">
        <v>2</v>
      </c>
      <c r="C209" s="20" t="s">
        <v>4</v>
      </c>
      <c r="D209" s="20" t="e">
        <f>IF(#REF!&gt;0,"REALIZADO","PROJETADO")</f>
        <v>#REF!</v>
      </c>
      <c r="E209" s="20" t="e">
        <f>IF(#REF!&gt;0,"REALIZADO","PROJETADO")</f>
        <v>#REF!</v>
      </c>
      <c r="F209" s="20" t="e">
        <f>IF(#REF!&gt;0,"REALIZADO","PROJETADO")</f>
        <v>#REF!</v>
      </c>
      <c r="G209" s="20" t="s">
        <v>5</v>
      </c>
      <c r="H209" s="20"/>
      <c r="I209" s="20" t="s">
        <v>5</v>
      </c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</row>
    <row r="210" spans="1:177" s="1" customFormat="1" ht="17.25" customHeight="1" hidden="1">
      <c r="A210" s="18"/>
      <c r="B210" s="44" t="s">
        <v>1</v>
      </c>
      <c r="C210" s="45">
        <v>1999</v>
      </c>
      <c r="D210" s="45">
        <v>2000</v>
      </c>
      <c r="E210" s="45">
        <v>2001</v>
      </c>
      <c r="F210" s="45">
        <v>2002</v>
      </c>
      <c r="G210" s="45">
        <v>2003</v>
      </c>
      <c r="H210" s="45"/>
      <c r="I210" s="45">
        <v>2004</v>
      </c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</row>
    <row r="211" spans="1:177" s="1" customFormat="1" ht="17.25" customHeight="1" hidden="1">
      <c r="A211" s="18"/>
      <c r="B211" s="21"/>
      <c r="C211" s="22"/>
      <c r="D211" s="22"/>
      <c r="E211" s="22"/>
      <c r="F211" s="22"/>
      <c r="G211" s="22"/>
      <c r="H211" s="22"/>
      <c r="I211" s="22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</row>
    <row r="212" spans="1:177" s="1" customFormat="1" ht="16.5" hidden="1" thickBot="1">
      <c r="A212" s="18"/>
      <c r="B212" s="21" t="s">
        <v>6</v>
      </c>
      <c r="C212" s="23" t="e">
        <f>C8-#REF!-C14+C216-#REF!</f>
        <v>#REF!</v>
      </c>
      <c r="D212" s="23" t="e">
        <f>D8-#REF!-D14+D216-#REF!</f>
        <v>#REF!</v>
      </c>
      <c r="E212" s="23" t="e">
        <f>E8-#REF!-E14+E216-#REF!</f>
        <v>#REF!</v>
      </c>
      <c r="F212" s="23" t="e">
        <f>F8-#REF!-F14+F216-#REF!</f>
        <v>#REF!</v>
      </c>
      <c r="G212" s="23" t="e">
        <f>G8-#REF!-G14+G216-#REF!</f>
        <v>#REF!</v>
      </c>
      <c r="H212" s="23"/>
      <c r="I212" s="23" t="e">
        <f>I8-#REF!-I14+I216-#REF!</f>
        <v>#REF!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</row>
    <row r="213" spans="1:177" s="1" customFormat="1" ht="16.5" hidden="1" thickBot="1">
      <c r="A213" s="18"/>
      <c r="B213" s="21" t="s">
        <v>7</v>
      </c>
      <c r="C213" s="23">
        <f>C9</f>
        <v>17760821.07</v>
      </c>
      <c r="D213" s="23">
        <f>D9</f>
        <v>17913432.57</v>
      </c>
      <c r="E213" s="23">
        <f>E9</f>
        <v>17401868.58</v>
      </c>
      <c r="F213" s="23">
        <f>F9</f>
        <v>19952721.17983827</v>
      </c>
      <c r="G213" s="23">
        <f>G9</f>
        <v>19130104.79576802</v>
      </c>
      <c r="H213" s="23"/>
      <c r="I213" s="23">
        <f>I9</f>
        <v>20092888.08968298</v>
      </c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</row>
    <row r="214" spans="1:177" s="1" customFormat="1" ht="16.5" hidden="1" thickBot="1">
      <c r="A214" s="18"/>
      <c r="B214" s="21" t="s">
        <v>8</v>
      </c>
      <c r="C214" s="23" t="e">
        <f>C19+C20+C21+#REF!+#REF!+#REF!+#REF!</f>
        <v>#REF!</v>
      </c>
      <c r="D214" s="23" t="e">
        <f>D19+D20+D21+#REF!+#REF!+#REF!+#REF!</f>
        <v>#REF!</v>
      </c>
      <c r="E214" s="23" t="e">
        <f>E19+E20+E21+#REF!+#REF!+#REF!+#REF!</f>
        <v>#REF!</v>
      </c>
      <c r="F214" s="23" t="e">
        <f>F19+F20+F21+#REF!+#REF!+#REF!+#REF!</f>
        <v>#REF!</v>
      </c>
      <c r="G214" s="23" t="e">
        <f>G19+G20+G21+#REF!+#REF!+#REF!+#REF!</f>
        <v>#REF!</v>
      </c>
      <c r="H214" s="23"/>
      <c r="I214" s="23" t="e">
        <f>I19+I20+I21+#REF!+#REF!+#REF!+#REF!</f>
        <v>#REF!</v>
      </c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</row>
    <row r="215" spans="1:177" s="1" customFormat="1" ht="16.5" hidden="1" thickBot="1">
      <c r="A215" s="18"/>
      <c r="B215" s="21" t="s">
        <v>9</v>
      </c>
      <c r="C215" s="23" t="e">
        <f>#REF!</f>
        <v>#REF!</v>
      </c>
      <c r="D215" s="23" t="e">
        <f>#REF!</f>
        <v>#REF!</v>
      </c>
      <c r="E215" s="23" t="e">
        <f>#REF!</f>
        <v>#REF!</v>
      </c>
      <c r="F215" s="23" t="e">
        <f>#REF!</f>
        <v>#REF!</v>
      </c>
      <c r="G215" s="23" t="e">
        <f>#REF!</f>
        <v>#REF!</v>
      </c>
      <c r="H215" s="23"/>
      <c r="I215" s="23" t="e">
        <f>#REF!</f>
        <v>#REF!</v>
      </c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</row>
    <row r="216" spans="1:177" s="1" customFormat="1" ht="16.5" hidden="1" thickBot="1">
      <c r="A216" s="18"/>
      <c r="B216" s="21" t="s">
        <v>10</v>
      </c>
      <c r="C216" s="23" t="e">
        <f>#REF!-#REF!</f>
        <v>#REF!</v>
      </c>
      <c r="D216" s="23" t="e">
        <f>#REF!-#REF!</f>
        <v>#REF!</v>
      </c>
      <c r="E216" s="23" t="e">
        <f>#REF!-#REF!</f>
        <v>#REF!</v>
      </c>
      <c r="F216" s="23" t="e">
        <f>#REF!-#REF!</f>
        <v>#REF!</v>
      </c>
      <c r="G216" s="23" t="e">
        <f>#REF!-#REF!</f>
        <v>#REF!</v>
      </c>
      <c r="H216" s="23"/>
      <c r="I216" s="23" t="e">
        <f>#REF!-#REF!</f>
        <v>#REF!</v>
      </c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</row>
    <row r="217" spans="1:177" s="1" customFormat="1" ht="16.5" hidden="1" thickBot="1">
      <c r="A217" s="18"/>
      <c r="B217" s="21" t="s">
        <v>11</v>
      </c>
      <c r="C217" s="23" t="e">
        <f>#REF!</f>
        <v>#REF!</v>
      </c>
      <c r="D217" s="23" t="e">
        <f>#REF!</f>
        <v>#REF!</v>
      </c>
      <c r="E217" s="23" t="e">
        <f>#REF!</f>
        <v>#REF!</v>
      </c>
      <c r="F217" s="23" t="e">
        <f>#REF!</f>
        <v>#REF!</v>
      </c>
      <c r="G217" s="23" t="e">
        <f>#REF!</f>
        <v>#REF!</v>
      </c>
      <c r="H217" s="23"/>
      <c r="I217" s="23" t="e">
        <f>#REF!</f>
        <v>#REF!</v>
      </c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</row>
    <row r="218" spans="1:177" s="1" customFormat="1" ht="16.5" hidden="1" thickBot="1">
      <c r="A218" s="18"/>
      <c r="B218" s="21" t="s">
        <v>12</v>
      </c>
      <c r="C218" s="23" t="e">
        <f>#REF!</f>
        <v>#REF!</v>
      </c>
      <c r="D218" s="23" t="e">
        <f>#REF!</f>
        <v>#REF!</v>
      </c>
      <c r="E218" s="23" t="e">
        <f>#REF!</f>
        <v>#REF!</v>
      </c>
      <c r="F218" s="23" t="e">
        <f>#REF!</f>
        <v>#REF!</v>
      </c>
      <c r="G218" s="23" t="e">
        <f>#REF!</f>
        <v>#REF!</v>
      </c>
      <c r="H218" s="23"/>
      <c r="I218" s="23" t="e">
        <f>#REF!</f>
        <v>#REF!</v>
      </c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</row>
    <row r="219" spans="1:177" s="1" customFormat="1" ht="16.5" hidden="1" thickBot="1">
      <c r="A219" s="18"/>
      <c r="B219" s="21" t="s">
        <v>13</v>
      </c>
      <c r="C219" s="23" t="e">
        <f>#REF!</f>
        <v>#REF!</v>
      </c>
      <c r="D219" s="23" t="e">
        <f>#REF!</f>
        <v>#REF!</v>
      </c>
      <c r="E219" s="23" t="e">
        <f>#REF!</f>
        <v>#REF!</v>
      </c>
      <c r="F219" s="23" t="e">
        <f>#REF!</f>
        <v>#REF!</v>
      </c>
      <c r="G219" s="23" t="e">
        <f>#REF!</f>
        <v>#REF!</v>
      </c>
      <c r="H219" s="23"/>
      <c r="I219" s="23" t="e">
        <f>#REF!</f>
        <v>#REF!</v>
      </c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</row>
    <row r="220" spans="1:177" s="1" customFormat="1" ht="16.5" hidden="1" thickBot="1">
      <c r="A220" s="18"/>
      <c r="B220" s="21" t="s">
        <v>14</v>
      </c>
      <c r="C220" s="23" t="e">
        <f>#REF!</f>
        <v>#REF!</v>
      </c>
      <c r="D220" s="23" t="e">
        <f>#REF!</f>
        <v>#REF!</v>
      </c>
      <c r="E220" s="23" t="e">
        <f>#REF!</f>
        <v>#REF!</v>
      </c>
      <c r="F220" s="23" t="e">
        <f>#REF!</f>
        <v>#REF!</v>
      </c>
      <c r="G220" s="23" t="e">
        <f>#REF!</f>
        <v>#REF!</v>
      </c>
      <c r="H220" s="23"/>
      <c r="I220" s="23" t="e">
        <f>#REF!</f>
        <v>#REF!</v>
      </c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</row>
    <row r="221" spans="1:177" s="1" customFormat="1" ht="16.5" hidden="1" thickBot="1">
      <c r="A221" s="18"/>
      <c r="B221" s="21" t="s">
        <v>15</v>
      </c>
      <c r="C221" s="23" t="e">
        <f>#REF!+#REF!+#REF!+#REF!+C173+#REF!+#REF!+C207+C151+#REF!</f>
        <v>#REF!</v>
      </c>
      <c r="D221" s="23" t="e">
        <f>#REF!+#REF!+#REF!+#REF!+D173+#REF!+#REF!+D207+D151+#REF!</f>
        <v>#REF!</v>
      </c>
      <c r="E221" s="23" t="e">
        <f>#REF!+#REF!+#REF!+#REF!+E173+#REF!+#REF!+E207+E151+#REF!</f>
        <v>#REF!</v>
      </c>
      <c r="F221" s="23" t="e">
        <f>#REF!+#REF!+#REF!+#REF!+F173+#REF!+#REF!+F207+F151+#REF!</f>
        <v>#REF!</v>
      </c>
      <c r="G221" s="23" t="e">
        <f>#REF!+#REF!+#REF!+#REF!+G173+#REF!+#REF!+G207+G151+#REF!</f>
        <v>#REF!</v>
      </c>
      <c r="H221" s="23"/>
      <c r="I221" s="23" t="e">
        <f>#REF!+#REF!+#REF!+#REF!+I173+#REF!+#REF!+I207+I151+#REF!</f>
        <v>#REF!</v>
      </c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</row>
    <row r="222" spans="1:177" s="1" customFormat="1" ht="16.5" hidden="1" thickBot="1">
      <c r="A222" s="18"/>
      <c r="B222" s="21" t="s">
        <v>16</v>
      </c>
      <c r="C222" s="23" t="e">
        <f>#REF!+#REF!</f>
        <v>#REF!</v>
      </c>
      <c r="D222" s="23" t="e">
        <f>#REF!+#REF!</f>
        <v>#REF!</v>
      </c>
      <c r="E222" s="23" t="e">
        <f>#REF!+#REF!</f>
        <v>#REF!</v>
      </c>
      <c r="F222" s="23" t="e">
        <f>#REF!+#REF!</f>
        <v>#REF!</v>
      </c>
      <c r="G222" s="23" t="e">
        <f>#REF!+#REF!</f>
        <v>#REF!</v>
      </c>
      <c r="H222" s="23"/>
      <c r="I222" s="23" t="e">
        <f>#REF!+#REF!</f>
        <v>#REF!</v>
      </c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</row>
    <row r="223" spans="1:177" s="1" customFormat="1" ht="16.5" hidden="1" thickBot="1">
      <c r="A223" s="18"/>
      <c r="B223" s="21" t="s">
        <v>17</v>
      </c>
      <c r="C223" s="23" t="e">
        <f>#REF!+#REF!</f>
        <v>#REF!</v>
      </c>
      <c r="D223" s="23" t="e">
        <f>#REF!+#REF!</f>
        <v>#REF!</v>
      </c>
      <c r="E223" s="23" t="e">
        <f>#REF!+#REF!</f>
        <v>#REF!</v>
      </c>
      <c r="F223" s="23" t="e">
        <f>#REF!+#REF!</f>
        <v>#REF!</v>
      </c>
      <c r="G223" s="23" t="e">
        <f>#REF!+#REF!</f>
        <v>#REF!</v>
      </c>
      <c r="H223" s="23"/>
      <c r="I223" s="23" t="e">
        <f>#REF!+#REF!</f>
        <v>#REF!</v>
      </c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</row>
    <row r="224" spans="1:177" s="1" customFormat="1" ht="16.5" hidden="1" thickBot="1">
      <c r="A224" s="18"/>
      <c r="B224" s="21" t="s">
        <v>18</v>
      </c>
      <c r="C224" s="23" t="e">
        <f>#REF!</f>
        <v>#REF!</v>
      </c>
      <c r="D224" s="23" t="e">
        <f>#REF!</f>
        <v>#REF!</v>
      </c>
      <c r="E224" s="23" t="e">
        <f>#REF!</f>
        <v>#REF!</v>
      </c>
      <c r="F224" s="23" t="e">
        <f>#REF!</f>
        <v>#REF!</v>
      </c>
      <c r="G224" s="23" t="e">
        <f>#REF!</f>
        <v>#REF!</v>
      </c>
      <c r="H224" s="23"/>
      <c r="I224" s="23" t="e">
        <f>#REF!</f>
        <v>#REF!</v>
      </c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</row>
    <row r="225" spans="1:177" s="1" customFormat="1" ht="16.5" hidden="1" thickBot="1">
      <c r="A225" s="18"/>
      <c r="B225" s="21" t="s">
        <v>19</v>
      </c>
      <c r="C225" s="23" t="e">
        <f>C156+#REF!+#REF!+#REF!+#REF!+#REF!+#REF!</f>
        <v>#REF!</v>
      </c>
      <c r="D225" s="23" t="e">
        <f>D156+#REF!+#REF!+#REF!+#REF!+#REF!+#REF!</f>
        <v>#REF!</v>
      </c>
      <c r="E225" s="23" t="e">
        <f>E156+#REF!+#REF!+#REF!+#REF!+#REF!+#REF!</f>
        <v>#REF!</v>
      </c>
      <c r="F225" s="23" t="e">
        <f>F156+#REF!+#REF!+#REF!+#REF!+#REF!+#REF!</f>
        <v>#REF!</v>
      </c>
      <c r="G225" s="23" t="e">
        <f>G156+#REF!+#REF!+#REF!+#REF!+#REF!+#REF!</f>
        <v>#REF!</v>
      </c>
      <c r="H225" s="23"/>
      <c r="I225" s="23" t="e">
        <f>I156+#REF!+#REF!+#REF!+#REF!+#REF!+#REF!</f>
        <v>#REF!</v>
      </c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</row>
    <row r="226" spans="1:177" s="1" customFormat="1" ht="16.5" hidden="1" thickBot="1">
      <c r="A226" s="18"/>
      <c r="B226" s="21" t="s">
        <v>25</v>
      </c>
      <c r="C226" s="23" t="e">
        <f>#REF!</f>
        <v>#REF!</v>
      </c>
      <c r="D226" s="23" t="e">
        <f>#REF!</f>
        <v>#REF!</v>
      </c>
      <c r="E226" s="23" t="e">
        <f>#REF!</f>
        <v>#REF!</v>
      </c>
      <c r="F226" s="23" t="e">
        <f>#REF!</f>
        <v>#REF!</v>
      </c>
      <c r="G226" s="23" t="e">
        <f>#REF!</f>
        <v>#REF!</v>
      </c>
      <c r="H226" s="23"/>
      <c r="I226" s="23" t="e">
        <f>#REF!</f>
        <v>#REF!</v>
      </c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</row>
    <row r="227" spans="1:177" s="1" customFormat="1" ht="16.5" hidden="1" thickBot="1">
      <c r="A227" s="18"/>
      <c r="B227" s="21" t="s">
        <v>20</v>
      </c>
      <c r="C227" s="23" t="e">
        <f>#REF!+#REF!</f>
        <v>#REF!</v>
      </c>
      <c r="D227" s="23" t="e">
        <f>#REF!+#REF!</f>
        <v>#REF!</v>
      </c>
      <c r="E227" s="23" t="e">
        <f>#REF!+#REF!</f>
        <v>#REF!</v>
      </c>
      <c r="F227" s="23" t="e">
        <f>#REF!+#REF!</f>
        <v>#REF!</v>
      </c>
      <c r="G227" s="23" t="e">
        <f>#REF!+#REF!</f>
        <v>#REF!</v>
      </c>
      <c r="H227" s="23"/>
      <c r="I227" s="23" t="e">
        <f>#REF!+#REF!</f>
        <v>#REF!</v>
      </c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</row>
    <row r="228" spans="1:177" s="1" customFormat="1" ht="16.5" hidden="1" thickBot="1">
      <c r="A228" s="18"/>
      <c r="B228" s="21" t="s">
        <v>21</v>
      </c>
      <c r="C228" s="23" t="e">
        <f>#REF!+#REF!</f>
        <v>#REF!</v>
      </c>
      <c r="D228" s="23" t="e">
        <f>#REF!+#REF!</f>
        <v>#REF!</v>
      </c>
      <c r="E228" s="23" t="e">
        <f>#REF!+#REF!</f>
        <v>#REF!</v>
      </c>
      <c r="F228" s="23" t="e">
        <f>#REF!+#REF!</f>
        <v>#REF!</v>
      </c>
      <c r="G228" s="23" t="e">
        <f>#REF!+#REF!</f>
        <v>#REF!</v>
      </c>
      <c r="H228" s="23"/>
      <c r="I228" s="23" t="e">
        <f>#REF!+#REF!</f>
        <v>#REF!</v>
      </c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</row>
    <row r="229" spans="1:177" s="1" customFormat="1" ht="16.5" hidden="1" thickBot="1">
      <c r="A229" s="18"/>
      <c r="B229" s="21" t="s">
        <v>22</v>
      </c>
      <c r="C229" s="23" t="e">
        <f>C227+C228</f>
        <v>#REF!</v>
      </c>
      <c r="D229" s="23" t="e">
        <f aca="true" t="shared" si="39" ref="D229:I229">D227+D228</f>
        <v>#REF!</v>
      </c>
      <c r="E229" s="23" t="e">
        <f t="shared" si="39"/>
        <v>#REF!</v>
      </c>
      <c r="F229" s="23" t="e">
        <f t="shared" si="39"/>
        <v>#REF!</v>
      </c>
      <c r="G229" s="23" t="e">
        <f t="shared" si="39"/>
        <v>#REF!</v>
      </c>
      <c r="H229" s="23"/>
      <c r="I229" s="23" t="e">
        <f t="shared" si="39"/>
        <v>#REF!</v>
      </c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</row>
    <row r="230" spans="1:177" s="1" customFormat="1" ht="16.5" hidden="1" thickBot="1">
      <c r="A230" s="18"/>
      <c r="B230" s="21" t="s">
        <v>23</v>
      </c>
      <c r="C230" s="23" t="e">
        <f>((C8+#REF!)-(C214)-((#REF!+#REF!)-C229))</f>
        <v>#REF!</v>
      </c>
      <c r="D230" s="23" t="e">
        <f>((D8+#REF!)-(D214)-((#REF!+#REF!)-D229))</f>
        <v>#REF!</v>
      </c>
      <c r="E230" s="23" t="e">
        <f>((E8+#REF!)-(E214)-((#REF!+#REF!)-E229))</f>
        <v>#REF!</v>
      </c>
      <c r="F230" s="23" t="e">
        <f>((F8+#REF!)-(F214)-((#REF!+#REF!)-F229))</f>
        <v>#REF!</v>
      </c>
      <c r="G230" s="23" t="e">
        <f>((G8+#REF!)-(G214)-((#REF!+#REF!)-G229))</f>
        <v>#REF!</v>
      </c>
      <c r="H230" s="23"/>
      <c r="I230" s="23" t="e">
        <f>((I8+#REF!)-(I214)-((#REF!+#REF!)-I229))</f>
        <v>#REF!</v>
      </c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</row>
    <row r="231" spans="1:177" s="1" customFormat="1" ht="16.5" hidden="1" thickBot="1">
      <c r="A231" s="18"/>
      <c r="B231" s="24" t="s">
        <v>24</v>
      </c>
      <c r="C231" s="25" t="e">
        <f>-(C230-(C227-C19-C20-C21-#REF!))</f>
        <v>#REF!</v>
      </c>
      <c r="D231" s="25" t="e">
        <f>-(D230-(D227-D19-D20-D21-#REF!))</f>
        <v>#REF!</v>
      </c>
      <c r="E231" s="25" t="e">
        <f>-(E230-(E227-E19-E20-E21-#REF!))</f>
        <v>#REF!</v>
      </c>
      <c r="F231" s="25" t="e">
        <f>-(F230-(F227-F19-F20-F21-#REF!))</f>
        <v>#REF!</v>
      </c>
      <c r="G231" s="25" t="e">
        <f>-(G230-(G227-G19-G20-G21-#REF!))</f>
        <v>#REF!</v>
      </c>
      <c r="H231" s="25"/>
      <c r="I231" s="25" t="e">
        <f>-(I230-(I227-I19-I20-I21-#REF!))</f>
        <v>#REF!</v>
      </c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</row>
    <row r="232" spans="1:177" s="1" customFormat="1" ht="16.5" thickTop="1">
      <c r="A232" s="18"/>
      <c r="B232" s="26"/>
      <c r="C232" s="26"/>
      <c r="D232" s="26"/>
      <c r="E232" s="26"/>
      <c r="F232" s="26"/>
      <c r="G232" s="26"/>
      <c r="H232" s="26"/>
      <c r="I232" s="26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</row>
    <row r="233" spans="2:177" s="1" customFormat="1" ht="15.75">
      <c r="B233" s="5"/>
      <c r="C233" s="5"/>
      <c r="D233" s="5"/>
      <c r="E233" s="5"/>
      <c r="F233" s="5"/>
      <c r="G233" s="5"/>
      <c r="H233" s="5"/>
      <c r="I233" s="5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</row>
    <row r="234" spans="2:177" s="1" customFormat="1" ht="15.75">
      <c r="B234" s="5"/>
      <c r="C234" s="5"/>
      <c r="D234" s="5"/>
      <c r="E234" s="5"/>
      <c r="F234" s="5"/>
      <c r="G234" s="5"/>
      <c r="H234" s="5"/>
      <c r="I234" s="5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</row>
    <row r="235" spans="2:177" s="1" customFormat="1" ht="15.75">
      <c r="B235" s="5"/>
      <c r="C235" s="5"/>
      <c r="D235" s="5"/>
      <c r="E235" s="5"/>
      <c r="F235" s="5"/>
      <c r="G235" s="5"/>
      <c r="H235" s="5"/>
      <c r="I235" s="5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</row>
    <row r="236" spans="2:177" s="1" customFormat="1" ht="15.75">
      <c r="B236" s="5"/>
      <c r="C236" s="5"/>
      <c r="D236" s="5"/>
      <c r="E236" s="5"/>
      <c r="F236" s="5"/>
      <c r="G236" s="5"/>
      <c r="H236" s="5"/>
      <c r="I236" s="5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</row>
    <row r="237" spans="2:177" s="1" customFormat="1" ht="15.75">
      <c r="B237" s="2"/>
      <c r="C237" s="5"/>
      <c r="D237" s="5"/>
      <c r="E237" s="5"/>
      <c r="F237" s="5"/>
      <c r="G237" s="5"/>
      <c r="H237" s="5"/>
      <c r="I237" s="5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</row>
    <row r="238" spans="2:177" s="1" customFormat="1" ht="15.75">
      <c r="B238" s="5"/>
      <c r="C238" s="5"/>
      <c r="D238" s="5"/>
      <c r="E238" s="5"/>
      <c r="F238" s="5"/>
      <c r="G238" s="5"/>
      <c r="H238" s="5"/>
      <c r="I238" s="5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</row>
    <row r="239" spans="2:177" s="1" customFormat="1" ht="15.75">
      <c r="B239" s="5"/>
      <c r="C239" s="5"/>
      <c r="D239" s="5"/>
      <c r="E239" s="5"/>
      <c r="F239" s="5"/>
      <c r="G239" s="5"/>
      <c r="H239" s="5"/>
      <c r="I239" s="5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</row>
    <row r="240" spans="2:177" s="1" customFormat="1" ht="15.75">
      <c r="B240" s="5"/>
      <c r="C240" s="5"/>
      <c r="D240" s="5"/>
      <c r="E240" s="5"/>
      <c r="F240" s="5"/>
      <c r="G240" s="5"/>
      <c r="H240" s="5"/>
      <c r="I240" s="5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</row>
    <row r="241" spans="2:177" s="1" customFormat="1" ht="15.75">
      <c r="B241" s="5"/>
      <c r="C241" s="5"/>
      <c r="D241" s="5"/>
      <c r="E241" s="5"/>
      <c r="F241" s="5"/>
      <c r="G241" s="5"/>
      <c r="H241" s="5"/>
      <c r="I241" s="5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</row>
    <row r="242" spans="2:177" s="1" customFormat="1" ht="15.75">
      <c r="B242" s="5"/>
      <c r="C242" s="5"/>
      <c r="D242" s="5"/>
      <c r="E242" s="5"/>
      <c r="F242" s="5"/>
      <c r="G242" s="5"/>
      <c r="H242" s="5"/>
      <c r="I242" s="5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</row>
    <row r="243" spans="2:177" s="1" customFormat="1" ht="15.75">
      <c r="B243" s="5"/>
      <c r="C243" s="5"/>
      <c r="D243" s="5"/>
      <c r="E243" s="5"/>
      <c r="F243" s="5"/>
      <c r="G243" s="5"/>
      <c r="H243" s="5"/>
      <c r="I243" s="5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</row>
    <row r="244" spans="2:177" s="1" customFormat="1" ht="18.75" customHeight="1">
      <c r="B244" s="5"/>
      <c r="C244" s="5"/>
      <c r="D244" s="5"/>
      <c r="E244" s="5"/>
      <c r="F244" s="5"/>
      <c r="G244" s="5"/>
      <c r="H244" s="5"/>
      <c r="I244" s="5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</row>
    <row r="245" spans="2:177" s="2" customFormat="1" ht="15.75">
      <c r="B245" s="5"/>
      <c r="C245" s="5"/>
      <c r="D245" s="5"/>
      <c r="E245" s="5"/>
      <c r="F245" s="5"/>
      <c r="G245" s="5"/>
      <c r="H245" s="5"/>
      <c r="I245" s="5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</row>
    <row r="246" spans="2:177" s="1" customFormat="1" ht="15.75">
      <c r="B246" s="5"/>
      <c r="C246" s="5"/>
      <c r="D246" s="5"/>
      <c r="E246" s="5"/>
      <c r="F246" s="5"/>
      <c r="G246" s="5"/>
      <c r="H246" s="5"/>
      <c r="I246" s="5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</row>
    <row r="247" spans="2:177" s="1" customFormat="1" ht="15.75">
      <c r="B247" s="5"/>
      <c r="C247" s="5"/>
      <c r="D247" s="5"/>
      <c r="E247" s="5"/>
      <c r="F247" s="5"/>
      <c r="G247" s="5"/>
      <c r="H247" s="5"/>
      <c r="I247" s="5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</row>
    <row r="248" spans="2:177" s="1" customFormat="1" ht="15.75">
      <c r="B248" s="5"/>
      <c r="C248" s="5"/>
      <c r="D248" s="5"/>
      <c r="E248" s="5"/>
      <c r="F248" s="5"/>
      <c r="G248" s="5"/>
      <c r="H248" s="5"/>
      <c r="I248" s="5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</row>
    <row r="249" spans="2:177" s="1" customFormat="1" ht="15.75">
      <c r="B249" s="5"/>
      <c r="C249" s="5"/>
      <c r="D249" s="5"/>
      <c r="E249" s="5"/>
      <c r="F249" s="5"/>
      <c r="G249" s="5"/>
      <c r="H249" s="5"/>
      <c r="I249" s="5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</row>
    <row r="250" spans="2:177" s="1" customFormat="1" ht="15.75">
      <c r="B250" s="5"/>
      <c r="C250" s="5"/>
      <c r="D250" s="5"/>
      <c r="E250" s="5"/>
      <c r="F250" s="5"/>
      <c r="G250" s="5"/>
      <c r="H250" s="5"/>
      <c r="I250" s="5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</row>
    <row r="251" spans="2:177" s="3" customFormat="1" ht="15.75">
      <c r="B251" s="5"/>
      <c r="C251" s="6"/>
      <c r="D251" s="6"/>
      <c r="E251" s="6"/>
      <c r="F251" s="6"/>
      <c r="G251" s="6"/>
      <c r="H251" s="6"/>
      <c r="I251" s="6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</row>
    <row r="252" spans="2:177" s="1" customFormat="1" ht="15.75">
      <c r="B252" s="2"/>
      <c r="C252" s="2"/>
      <c r="D252" s="2"/>
      <c r="E252" s="2"/>
      <c r="F252" s="2"/>
      <c r="G252" s="2"/>
      <c r="H252" s="2"/>
      <c r="I252" s="2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</row>
    <row r="253" spans="2:177" s="1" customFormat="1" ht="15.75">
      <c r="B253" s="2"/>
      <c r="C253" s="2"/>
      <c r="D253" s="2"/>
      <c r="E253" s="2"/>
      <c r="F253" s="2"/>
      <c r="G253" s="2"/>
      <c r="H253" s="2"/>
      <c r="I253" s="2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</row>
    <row r="254" spans="2:177" s="1" customFormat="1" ht="15.75">
      <c r="B254" s="2"/>
      <c r="C254" s="2"/>
      <c r="D254" s="2"/>
      <c r="E254" s="2"/>
      <c r="F254" s="2"/>
      <c r="G254" s="2"/>
      <c r="H254" s="2"/>
      <c r="I254" s="2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</row>
    <row r="255" spans="2:177" s="1" customFormat="1" ht="15.75">
      <c r="B255" s="2"/>
      <c r="C255" s="2"/>
      <c r="D255" s="2"/>
      <c r="E255" s="2"/>
      <c r="F255" s="2"/>
      <c r="G255" s="2"/>
      <c r="H255" s="2"/>
      <c r="I255" s="2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</row>
    <row r="256" spans="2:177" s="1" customFormat="1" ht="15.75">
      <c r="B256" s="2"/>
      <c r="C256" s="2"/>
      <c r="D256" s="2"/>
      <c r="E256" s="2"/>
      <c r="F256" s="2"/>
      <c r="G256" s="2"/>
      <c r="H256" s="2"/>
      <c r="I256" s="2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</row>
    <row r="257" spans="2:177" s="1" customFormat="1" ht="15.75">
      <c r="B257" s="2"/>
      <c r="C257" s="2"/>
      <c r="D257" s="2"/>
      <c r="E257" s="2"/>
      <c r="F257" s="2"/>
      <c r="G257" s="2"/>
      <c r="H257" s="2"/>
      <c r="I257" s="2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</row>
    <row r="258" spans="2:177" s="1" customFormat="1" ht="15.75">
      <c r="B258" s="2"/>
      <c r="C258" s="2"/>
      <c r="D258" s="2"/>
      <c r="E258" s="2"/>
      <c r="F258" s="2"/>
      <c r="G258" s="2"/>
      <c r="H258" s="2"/>
      <c r="I258" s="2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</row>
    <row r="259" spans="2:177" s="1" customFormat="1" ht="15.75">
      <c r="B259" s="2"/>
      <c r="C259" s="2"/>
      <c r="D259" s="2"/>
      <c r="E259" s="2"/>
      <c r="F259" s="2"/>
      <c r="G259" s="2"/>
      <c r="H259" s="2"/>
      <c r="I259" s="2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</row>
    <row r="260" spans="10:177" s="1" customFormat="1" ht="15.75"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</row>
    <row r="261" spans="10:177" s="1" customFormat="1" ht="15.75"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</row>
    <row r="262" spans="10:177" s="1" customFormat="1" ht="15.75"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</row>
    <row r="263" spans="10:177" s="1" customFormat="1" ht="15.75"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</row>
    <row r="264" spans="10:177" s="1" customFormat="1" ht="15.75"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</row>
    <row r="265" spans="10:177" s="1" customFormat="1" ht="15.75"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</row>
    <row r="266" spans="10:177" s="1" customFormat="1" ht="15.75"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</row>
    <row r="267" spans="10:177" s="1" customFormat="1" ht="15.75"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</row>
    <row r="268" spans="10:177" s="1" customFormat="1" ht="15.75"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</row>
    <row r="269" spans="10:177" s="1" customFormat="1" ht="15.75"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</row>
    <row r="270" spans="10:177" s="1" customFormat="1" ht="15.75"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</row>
    <row r="271" spans="10:177" s="1" customFormat="1" ht="15.75"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</row>
    <row r="272" spans="10:177" s="1" customFormat="1" ht="15.75"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</row>
    <row r="273" spans="10:177" s="1" customFormat="1" ht="15.75"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</row>
    <row r="274" spans="10:177" s="1" customFormat="1" ht="15.75"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</row>
    <row r="275" spans="10:177" s="1" customFormat="1" ht="15.75"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</row>
    <row r="276" spans="10:177" s="1" customFormat="1" ht="15.75"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</row>
    <row r="277" spans="10:177" s="1" customFormat="1" ht="15.75"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</row>
    <row r="278" spans="10:177" s="1" customFormat="1" ht="15.75"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</row>
    <row r="279" spans="10:177" s="1" customFormat="1" ht="15.75"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</row>
    <row r="280" spans="10:177" s="1" customFormat="1" ht="15.75"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</row>
    <row r="281" spans="10:177" s="1" customFormat="1" ht="15.75"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</row>
    <row r="282" spans="10:177" s="1" customFormat="1" ht="15.75"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</row>
    <row r="283" spans="10:177" s="1" customFormat="1" ht="15.75"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</row>
    <row r="284" spans="10:177" s="1" customFormat="1" ht="15.75"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</row>
    <row r="285" spans="10:177" s="1" customFormat="1" ht="15.75"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</row>
    <row r="286" spans="10:177" s="1" customFormat="1" ht="15.75"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</row>
    <row r="287" spans="10:177" s="1" customFormat="1" ht="15.75"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</row>
    <row r="288" spans="10:177" s="1" customFormat="1" ht="15.75"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</row>
    <row r="289" spans="10:177" s="1" customFormat="1" ht="15.75"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</row>
    <row r="290" spans="10:177" s="1" customFormat="1" ht="15.75"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</row>
    <row r="291" spans="10:177" s="1" customFormat="1" ht="15.75"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</row>
    <row r="292" spans="10:177" s="1" customFormat="1" ht="15.75"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</row>
    <row r="293" spans="10:177" s="1" customFormat="1" ht="15.75"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</row>
    <row r="294" spans="10:177" s="1" customFormat="1" ht="15.75"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</row>
    <row r="295" spans="10:177" s="1" customFormat="1" ht="15.75"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</row>
    <row r="296" spans="10:177" s="1" customFormat="1" ht="15.75"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</row>
    <row r="297" spans="10:177" s="1" customFormat="1" ht="15.75"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</row>
    <row r="298" spans="10:177" s="1" customFormat="1" ht="15.75"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</row>
    <row r="299" spans="10:177" s="1" customFormat="1" ht="15.75"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</row>
    <row r="300" spans="10:177" s="1" customFormat="1" ht="15.75"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</row>
    <row r="301" spans="10:177" s="1" customFormat="1" ht="15.75"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</row>
    <row r="302" spans="10:177" s="1" customFormat="1" ht="15.75"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</row>
    <row r="303" spans="10:177" s="1" customFormat="1" ht="15.75"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</row>
    <row r="304" spans="10:177" s="1" customFormat="1" ht="15.75"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</row>
    <row r="305" spans="10:177" s="1" customFormat="1" ht="15.75"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</row>
    <row r="306" spans="10:177" s="1" customFormat="1" ht="15.75"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</row>
    <row r="307" spans="10:177" s="1" customFormat="1" ht="15.75"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</row>
    <row r="308" spans="10:177" s="1" customFormat="1" ht="15.75"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</row>
    <row r="309" spans="10:177" s="1" customFormat="1" ht="15.75"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</row>
    <row r="310" spans="10:177" s="1" customFormat="1" ht="15.75"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</row>
    <row r="311" spans="10:177" s="1" customFormat="1" ht="15.75"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</row>
    <row r="312" spans="10:177" s="1" customFormat="1" ht="15.75"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</row>
    <row r="313" spans="10:177" s="1" customFormat="1" ht="15.75"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</row>
    <row r="314" spans="10:177" s="1" customFormat="1" ht="15.75"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</row>
    <row r="315" spans="10:177" s="1" customFormat="1" ht="15.75"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</row>
    <row r="316" spans="10:177" s="1" customFormat="1" ht="15.75"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</row>
    <row r="317" spans="10:177" s="1" customFormat="1" ht="15.75"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</row>
    <row r="318" spans="10:177" s="1" customFormat="1" ht="15.75"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</row>
    <row r="319" spans="10:177" s="1" customFormat="1" ht="15.75"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</row>
    <row r="320" spans="10:177" s="1" customFormat="1" ht="15.75"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</row>
    <row r="321" spans="10:177" s="1" customFormat="1" ht="15.75"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</row>
    <row r="322" spans="10:177" s="1" customFormat="1" ht="15.75"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</row>
    <row r="323" spans="10:177" s="1" customFormat="1" ht="15.75"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</row>
    <row r="324" spans="10:177" s="1" customFormat="1" ht="15.75"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</row>
    <row r="325" spans="10:177" s="1" customFormat="1" ht="15.75"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</row>
    <row r="326" spans="10:177" s="1" customFormat="1" ht="15.75"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</row>
    <row r="327" spans="10:177" s="1" customFormat="1" ht="15.75"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</row>
    <row r="328" spans="10:177" s="1" customFormat="1" ht="15.75"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</row>
    <row r="329" spans="10:177" s="1" customFormat="1" ht="15.75"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</row>
    <row r="330" spans="10:177" s="1" customFormat="1" ht="15.75"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</row>
    <row r="331" spans="10:177" s="1" customFormat="1" ht="15.75"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</row>
    <row r="332" spans="10:177" s="1" customFormat="1" ht="15.75"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</row>
    <row r="333" spans="10:177" s="1" customFormat="1" ht="15.75"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</row>
    <row r="334" spans="10:177" s="1" customFormat="1" ht="15.75"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</row>
    <row r="335" spans="10:177" s="1" customFormat="1" ht="15.75"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</row>
    <row r="336" spans="10:177" s="1" customFormat="1" ht="15.75"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</row>
    <row r="337" spans="10:177" s="1" customFormat="1" ht="15.75"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</row>
    <row r="338" spans="10:177" s="1" customFormat="1" ht="15.75"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</row>
    <row r="339" spans="10:177" s="1" customFormat="1" ht="15.75"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</row>
    <row r="340" spans="10:177" s="1" customFormat="1" ht="15.75"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</row>
    <row r="341" spans="10:177" s="1" customFormat="1" ht="15.75"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</row>
    <row r="342" spans="10:177" s="1" customFormat="1" ht="15.75"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</row>
    <row r="343" spans="10:177" s="1" customFormat="1" ht="15.75"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</row>
    <row r="344" spans="10:177" s="1" customFormat="1" ht="15.75"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</row>
    <row r="345" spans="10:177" s="1" customFormat="1" ht="15.75"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</row>
    <row r="346" spans="10:177" s="1" customFormat="1" ht="15.75"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</row>
    <row r="347" spans="10:177" s="1" customFormat="1" ht="15.75"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</row>
    <row r="348" spans="10:177" s="1" customFormat="1" ht="15.75"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</row>
    <row r="349" spans="10:177" s="1" customFormat="1" ht="15.75"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</row>
    <row r="350" spans="10:177" s="1" customFormat="1" ht="15.75"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</row>
    <row r="351" spans="10:177" s="1" customFormat="1" ht="15.75"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</row>
    <row r="352" spans="10:177" s="1" customFormat="1" ht="15.75"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</row>
    <row r="353" spans="10:177" s="1" customFormat="1" ht="15.75"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</row>
    <row r="354" spans="10:177" s="1" customFormat="1" ht="15.75"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</row>
    <row r="355" spans="10:177" s="1" customFormat="1" ht="15.75"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</row>
    <row r="356" spans="10:177" s="1" customFormat="1" ht="15.75"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</row>
    <row r="357" spans="10:177" s="1" customFormat="1" ht="15.75"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</row>
    <row r="358" spans="10:177" s="1" customFormat="1" ht="15.75"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</row>
    <row r="359" spans="10:177" s="1" customFormat="1" ht="15.75"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</row>
    <row r="360" spans="10:177" s="1" customFormat="1" ht="15.75"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</row>
    <row r="361" spans="10:177" s="1" customFormat="1" ht="15.75"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</row>
    <row r="362" spans="10:177" s="1" customFormat="1" ht="15.75"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</row>
    <row r="363" spans="10:177" s="1" customFormat="1" ht="15.75"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</row>
    <row r="364" spans="10:177" s="1" customFormat="1" ht="15.75"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</row>
    <row r="365" spans="10:177" s="1" customFormat="1" ht="15.75"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</row>
  </sheetData>
  <sheetProtection/>
  <mergeCells count="6">
    <mergeCell ref="A1:I1"/>
    <mergeCell ref="A2:I2"/>
    <mergeCell ref="A3:I3"/>
    <mergeCell ref="A140:I140"/>
    <mergeCell ref="A139:I139"/>
    <mergeCell ref="A138:I138"/>
  </mergeCells>
  <printOptions/>
  <pageMargins left="0.787401575" right="0.787401575" top="0.984251969" bottom="0.984251969" header="0.492125985" footer="0.492125985"/>
  <pageSetup horizontalDpi="300" verticalDpi="300" orientation="portrait" scale="34" r:id="rId1"/>
  <rowBreaks count="2" manualBreakCount="2">
    <brk id="135" max="38" man="1"/>
    <brk id="140" max="255" man="1"/>
  </rowBreaks>
  <colBreaks count="1" manualBreakCount="1">
    <brk id="3" max="1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0.140625" style="0" customWidth="1"/>
    <col min="2" max="4" width="15.00390625" style="0" bestFit="1" customWidth="1"/>
    <col min="5" max="5" width="15.7109375" style="0" bestFit="1" customWidth="1"/>
  </cols>
  <sheetData>
    <row r="1" spans="1:5" ht="12.75">
      <c r="A1" s="253" t="str">
        <f>Parâmetros!A1</f>
        <v>Município de :  IVOTI</v>
      </c>
      <c r="B1" s="253"/>
      <c r="C1" s="254"/>
      <c r="D1" s="254"/>
      <c r="E1" s="254"/>
    </row>
    <row r="2" spans="1:5" ht="12.75">
      <c r="A2" s="255" t="str">
        <f>Parâmetros!A8</f>
        <v>PLANO PLURIANUAL 2022 - 2025</v>
      </c>
      <c r="B2" s="255"/>
      <c r="C2" s="254"/>
      <c r="D2" s="254"/>
      <c r="E2" s="254"/>
    </row>
    <row r="3" spans="1:5" ht="12.75">
      <c r="A3" s="256" t="s">
        <v>406</v>
      </c>
      <c r="B3" s="257"/>
      <c r="C3" s="257"/>
      <c r="D3" s="257"/>
      <c r="E3" s="257"/>
    </row>
    <row r="4" spans="1:5" ht="12.75">
      <c r="A4" s="258" t="s">
        <v>259</v>
      </c>
      <c r="B4" s="259"/>
      <c r="C4" s="259"/>
      <c r="D4" s="259"/>
      <c r="E4" s="259"/>
    </row>
    <row r="5" spans="1:5" ht="12.75">
      <c r="A5" s="165" t="s">
        <v>29</v>
      </c>
      <c r="B5" s="166">
        <f>Parâmetros!C10</f>
        <v>2022</v>
      </c>
      <c r="C5" s="166">
        <f>B5+1</f>
        <v>2023</v>
      </c>
      <c r="D5" s="166">
        <f>C5+1</f>
        <v>2024</v>
      </c>
      <c r="E5" s="166">
        <f>D5+1</f>
        <v>2025</v>
      </c>
    </row>
    <row r="6" spans="1:5" ht="12.75">
      <c r="A6" s="167" t="s">
        <v>182</v>
      </c>
      <c r="B6" s="168">
        <f>Projeções!F8</f>
        <v>112664933.84345122</v>
      </c>
      <c r="C6" s="168">
        <f>Projeções!G8</f>
        <v>113197021.28681985</v>
      </c>
      <c r="D6" s="168">
        <f>Projeções!H8</f>
        <v>116235801.04823725</v>
      </c>
      <c r="E6" s="168">
        <f>Projeções!I8</f>
        <v>117517919.41043882</v>
      </c>
    </row>
    <row r="7" spans="1:5" ht="12.75">
      <c r="A7" s="169" t="s">
        <v>177</v>
      </c>
      <c r="B7" s="170">
        <f>B8+B9+B10+B11</f>
        <v>19933314.765692934</v>
      </c>
      <c r="C7" s="170">
        <f>C8+C9+C10+C11</f>
        <v>19455422.047838703</v>
      </c>
      <c r="D7" s="170">
        <f>D8+D9+D10+D11</f>
        <v>20377668.42779334</v>
      </c>
      <c r="E7" s="170">
        <f>E8+E9+E10+E11</f>
        <v>20580032.46867255</v>
      </c>
    </row>
    <row r="8" spans="1:5" ht="12.75">
      <c r="A8" s="171" t="s">
        <v>178</v>
      </c>
      <c r="B8" s="172">
        <f>Projeções!F17</f>
        <v>3518171.242780939</v>
      </c>
      <c r="C8" s="172">
        <f>Projeções!G17</f>
        <v>3500153.1348542296</v>
      </c>
      <c r="D8" s="172">
        <f>Projeções!H17</f>
        <v>3724180.632895638</v>
      </c>
      <c r="E8" s="172">
        <f>Projeções!I17</f>
        <v>3744506.0194332143</v>
      </c>
    </row>
    <row r="9" spans="1:5" ht="12.75">
      <c r="A9" s="173" t="s">
        <v>179</v>
      </c>
      <c r="B9" s="172">
        <f>Projeções!F86</f>
        <v>164806.20962133334</v>
      </c>
      <c r="C9" s="172">
        <f>Projeções!G86</f>
        <v>165922.54722359753</v>
      </c>
      <c r="D9" s="172">
        <f>Projeções!H86</f>
        <v>168892.48048079704</v>
      </c>
      <c r="E9" s="172">
        <f>Projeções!I86</f>
        <v>171536.6248151666</v>
      </c>
    </row>
    <row r="10" spans="1:5" ht="12.75">
      <c r="A10" s="173" t="s">
        <v>190</v>
      </c>
      <c r="B10" s="172">
        <f>Projeções!F32</f>
        <v>6401640.2343999995</v>
      </c>
      <c r="C10" s="172">
        <f>Projeções!G32</f>
        <v>5950858.1919869855</v>
      </c>
      <c r="D10" s="172">
        <f>Projeções!H32</f>
        <v>6512777.54508152</v>
      </c>
      <c r="E10" s="172">
        <f>Projeções!I32</f>
        <v>6481065.453537522</v>
      </c>
    </row>
    <row r="11" spans="1:5" ht="12.75">
      <c r="A11" s="171" t="s">
        <v>188</v>
      </c>
      <c r="B11" s="172">
        <f>-(Projeções!F128+Projeções!F129+Projeções!F130)</f>
        <v>9848697.078890665</v>
      </c>
      <c r="C11" s="172">
        <f>-(Projeções!G128+Projeções!G129+Projeções!G130)</f>
        <v>9838488.17377389</v>
      </c>
      <c r="D11" s="172">
        <f>-(Projeções!H128+Projeções!H129+Projeções!H130)</f>
        <v>9971817.769335384</v>
      </c>
      <c r="E11" s="172">
        <f>-(Projeções!I128+Projeções!I129+Projeções!I130)</f>
        <v>10182924.370886646</v>
      </c>
    </row>
    <row r="12" spans="1:5" ht="12.75">
      <c r="A12" s="169" t="s">
        <v>180</v>
      </c>
      <c r="B12" s="170">
        <f>-(IF(Projeções!F76+Projeções!F129&gt;0,0,Projeções!F76+Projeções!F129))</f>
        <v>0</v>
      </c>
      <c r="C12" s="170">
        <f>-(IF(Projeções!G76+Projeções!G129&gt;0,0,Projeções!G76+Projeções!G129))</f>
        <v>0</v>
      </c>
      <c r="D12" s="170">
        <f>-(IF(Projeções!H76+Projeções!H129&gt;0,0,Projeções!H76+Projeções!H129))</f>
        <v>0</v>
      </c>
      <c r="E12" s="170">
        <f>-(IF(Projeções!I76+Projeções!I129&gt;0,0,Projeções!I76+Projeções!I129))</f>
        <v>0</v>
      </c>
    </row>
    <row r="13" spans="1:5" ht="12.75">
      <c r="A13" s="167" t="s">
        <v>181</v>
      </c>
      <c r="B13" s="168">
        <f>B6-B7+B12</f>
        <v>92731619.07775828</v>
      </c>
      <c r="C13" s="168">
        <f>C6-C7+C12</f>
        <v>93741599.23898114</v>
      </c>
      <c r="D13" s="168">
        <f>D6-D7+D12</f>
        <v>95858132.62044391</v>
      </c>
      <c r="E13" s="168">
        <f>E6-E7+E12</f>
        <v>96937886.94176626</v>
      </c>
    </row>
    <row r="15" spans="1:5" ht="12.75">
      <c r="A15" s="258" t="s">
        <v>431</v>
      </c>
      <c r="B15" s="259"/>
      <c r="C15" s="259"/>
      <c r="D15" s="259"/>
      <c r="E15" s="259"/>
    </row>
    <row r="16" spans="1:5" ht="12.75">
      <c r="A16" s="165" t="s">
        <v>29</v>
      </c>
      <c r="B16" s="166">
        <f>B5</f>
        <v>2022</v>
      </c>
      <c r="C16" s="166">
        <f>B16+1</f>
        <v>2023</v>
      </c>
      <c r="D16" s="166">
        <f>C16+1</f>
        <v>2024</v>
      </c>
      <c r="E16" s="166">
        <f>D16+1</f>
        <v>2025</v>
      </c>
    </row>
    <row r="17" spans="1:5" ht="12.75">
      <c r="A17" s="167" t="s">
        <v>182</v>
      </c>
      <c r="B17" s="168">
        <f>B6</f>
        <v>112664933.84345122</v>
      </c>
      <c r="C17" s="168">
        <f>C6</f>
        <v>113197021.28681985</v>
      </c>
      <c r="D17" s="168">
        <f>D6</f>
        <v>116235801.04823725</v>
      </c>
      <c r="E17" s="168">
        <f>E6</f>
        <v>117517919.41043882</v>
      </c>
    </row>
    <row r="18" spans="1:5" ht="12.75">
      <c r="A18" s="169" t="s">
        <v>177</v>
      </c>
      <c r="B18" s="170">
        <f>SUM(B19:B22)</f>
        <v>19933314.765692938</v>
      </c>
      <c r="C18" s="170">
        <f>SUM(C19:C22)</f>
        <v>19455422.047838703</v>
      </c>
      <c r="D18" s="170">
        <f>SUM(D19:D22)</f>
        <v>20377668.42779334</v>
      </c>
      <c r="E18" s="170">
        <f>SUM(E19:E22)</f>
        <v>20580032.46867255</v>
      </c>
    </row>
    <row r="19" spans="1:5" ht="12.75">
      <c r="A19" s="171" t="s">
        <v>178</v>
      </c>
      <c r="B19" s="172">
        <f aca="true" t="shared" si="0" ref="B19:E20">B8</f>
        <v>3518171.242780939</v>
      </c>
      <c r="C19" s="172">
        <f t="shared" si="0"/>
        <v>3500153.1348542296</v>
      </c>
      <c r="D19" s="172">
        <f t="shared" si="0"/>
        <v>3724180.632895638</v>
      </c>
      <c r="E19" s="172">
        <f t="shared" si="0"/>
        <v>3744506.0194332143</v>
      </c>
    </row>
    <row r="20" spans="1:5" ht="12.75">
      <c r="A20" s="173" t="s">
        <v>179</v>
      </c>
      <c r="B20" s="172">
        <f t="shared" si="0"/>
        <v>164806.20962133334</v>
      </c>
      <c r="C20" s="172">
        <f t="shared" si="0"/>
        <v>165922.54722359753</v>
      </c>
      <c r="D20" s="172">
        <f t="shared" si="0"/>
        <v>168892.48048079704</v>
      </c>
      <c r="E20" s="172">
        <f t="shared" si="0"/>
        <v>171536.6248151666</v>
      </c>
    </row>
    <row r="21" spans="1:5" ht="12.75">
      <c r="A21" s="171" t="s">
        <v>188</v>
      </c>
      <c r="B21" s="172">
        <f>B11</f>
        <v>9848697.078890665</v>
      </c>
      <c r="C21" s="172">
        <f>C11</f>
        <v>9838488.17377389</v>
      </c>
      <c r="D21" s="172">
        <f>D11</f>
        <v>9971817.769335384</v>
      </c>
      <c r="E21" s="172">
        <f>E11</f>
        <v>10182924.370886646</v>
      </c>
    </row>
    <row r="22" spans="1:5" ht="12.75">
      <c r="A22" s="233" t="s">
        <v>450</v>
      </c>
      <c r="B22" s="172">
        <f>B10</f>
        <v>6401640.2343999995</v>
      </c>
      <c r="C22" s="172">
        <f>C10</f>
        <v>5950858.1919869855</v>
      </c>
      <c r="D22" s="172">
        <f>D10</f>
        <v>6512777.54508152</v>
      </c>
      <c r="E22" s="172">
        <f>E10</f>
        <v>6481065.453537522</v>
      </c>
    </row>
    <row r="23" spans="1:5" ht="12.75">
      <c r="A23" s="169" t="s">
        <v>180</v>
      </c>
      <c r="B23" s="170">
        <f>-(IF(Projeções!F89+Projeções!F141&gt;0,0,Projeções!F89+Projeções!F141))</f>
        <v>0</v>
      </c>
      <c r="C23" s="170">
        <f>-(IF(Projeções!G89+Projeções!G141&gt;0,0,Projeções!G89+Projeções!G141))</f>
        <v>0</v>
      </c>
      <c r="D23" s="170">
        <f>-(IF(Projeções!H89+Projeções!H141&gt;0,0,Projeções!H89+Projeções!H141))</f>
        <v>0</v>
      </c>
      <c r="E23" s="170"/>
    </row>
    <row r="24" spans="1:5" ht="12.75">
      <c r="A24" s="167" t="s">
        <v>181</v>
      </c>
      <c r="B24" s="168">
        <f>B17-B18+B23</f>
        <v>92731619.07775828</v>
      </c>
      <c r="C24" s="168">
        <f>C17-C18+C23</f>
        <v>93741599.23898114</v>
      </c>
      <c r="D24" s="168">
        <f>D17-D18+D23</f>
        <v>95858132.62044391</v>
      </c>
      <c r="E24" s="168">
        <f>E17-E18+E23</f>
        <v>96937886.94176626</v>
      </c>
    </row>
  </sheetData>
  <sheetProtection/>
  <mergeCells count="5">
    <mergeCell ref="A1:E1"/>
    <mergeCell ref="A2:E2"/>
    <mergeCell ref="A3:E3"/>
    <mergeCell ref="A4:E4"/>
    <mergeCell ref="A15:E1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71.28125" style="0" customWidth="1"/>
    <col min="2" max="5" width="17.57421875" style="0" bestFit="1" customWidth="1"/>
  </cols>
  <sheetData>
    <row r="1" spans="1:5" ht="12.75">
      <c r="A1" s="265" t="str">
        <f>Parâmetros!A1</f>
        <v>Município de :  IVOTI</v>
      </c>
      <c r="B1" s="266"/>
      <c r="C1" s="266"/>
      <c r="D1" s="266"/>
      <c r="E1" s="119"/>
    </row>
    <row r="2" spans="1:5" ht="12.75">
      <c r="A2" s="267" t="str">
        <f>Parâmetros!A8</f>
        <v>PLANO PLURIANUAL 2022 - 2025</v>
      </c>
      <c r="B2" s="267"/>
      <c r="C2" s="267"/>
      <c r="D2" s="267"/>
      <c r="E2" s="174"/>
    </row>
    <row r="3" spans="1:5" ht="15">
      <c r="A3" s="272" t="s">
        <v>412</v>
      </c>
      <c r="B3" s="273"/>
      <c r="C3" s="273"/>
      <c r="D3" s="273"/>
      <c r="E3" s="274"/>
    </row>
    <row r="4" spans="1:5" ht="15">
      <c r="A4" s="175"/>
      <c r="B4" s="176"/>
      <c r="C4" s="176"/>
      <c r="D4" s="176"/>
      <c r="E4" s="176"/>
    </row>
    <row r="5" spans="1:5" ht="12.75">
      <c r="A5" s="268" t="s">
        <v>194</v>
      </c>
      <c r="B5" s="260"/>
      <c r="C5" s="261"/>
      <c r="D5" s="261"/>
      <c r="E5" s="262"/>
    </row>
    <row r="6" spans="1:5" ht="12.75">
      <c r="A6" s="269"/>
      <c r="B6" s="177">
        <f>RCL!B5</f>
        <v>2022</v>
      </c>
      <c r="C6" s="177">
        <f>RCL!C5</f>
        <v>2023</v>
      </c>
      <c r="D6" s="177">
        <f>RCL!D5</f>
        <v>2024</v>
      </c>
      <c r="E6" s="177">
        <f>RCL!E5</f>
        <v>2025</v>
      </c>
    </row>
    <row r="7" spans="1:5" ht="12.75">
      <c r="A7" s="178" t="s">
        <v>191</v>
      </c>
      <c r="B7" s="179">
        <f>RCL!B13*0.54</f>
        <v>50075074.30198947</v>
      </c>
      <c r="C7" s="179">
        <f>RCL!C13*0.54</f>
        <v>50620463.58904982</v>
      </c>
      <c r="D7" s="179">
        <f>RCL!D13*0.54</f>
        <v>51763391.61503971</v>
      </c>
      <c r="E7" s="179">
        <f>RCL!E13*0.54</f>
        <v>52346458.948553786</v>
      </c>
    </row>
    <row r="8" spans="1:5" ht="12.75">
      <c r="A8" s="178" t="s">
        <v>192</v>
      </c>
      <c r="B8" s="179">
        <f>RCL!B13*0.513</f>
        <v>47571320.58689</v>
      </c>
      <c r="C8" s="179">
        <f>RCL!C13*0.513</f>
        <v>48089440.40959733</v>
      </c>
      <c r="D8" s="179">
        <f>RCL!D13*0.513</f>
        <v>49175222.03428773</v>
      </c>
      <c r="E8" s="179">
        <f>RCL!E13*0.513</f>
        <v>49729136.001126096</v>
      </c>
    </row>
    <row r="9" spans="1:5" ht="12.75">
      <c r="A9" s="178" t="s">
        <v>193</v>
      </c>
      <c r="B9" s="179">
        <f>RCL!B13*0.486</f>
        <v>45067566.87179052</v>
      </c>
      <c r="C9" s="179">
        <f>RCL!C13*0.486</f>
        <v>45558417.230144836</v>
      </c>
      <c r="D9" s="179">
        <f>RCL!D13*0.486</f>
        <v>46587052.453535736</v>
      </c>
      <c r="E9" s="179">
        <f>RCL!E13*0.486</f>
        <v>47111813.053698406</v>
      </c>
    </row>
    <row r="10" spans="1:5" ht="12.75">
      <c r="A10" s="270"/>
      <c r="B10" s="271"/>
      <c r="C10" s="271"/>
      <c r="D10" s="271"/>
      <c r="E10" s="262"/>
    </row>
    <row r="11" spans="1:5" ht="12.75">
      <c r="A11" s="180"/>
      <c r="B11" s="181"/>
      <c r="C11" s="181"/>
      <c r="D11" s="181"/>
      <c r="E11" s="181"/>
    </row>
    <row r="12" spans="1:5" ht="12.75">
      <c r="A12" s="180"/>
      <c r="B12" s="181"/>
      <c r="C12" s="181"/>
      <c r="D12" s="181"/>
      <c r="E12" s="181"/>
    </row>
    <row r="13" spans="1:5" ht="12.75">
      <c r="A13" s="263" t="s">
        <v>195</v>
      </c>
      <c r="B13" s="260"/>
      <c r="C13" s="261"/>
      <c r="D13" s="261"/>
      <c r="E13" s="262"/>
    </row>
    <row r="14" spans="1:5" ht="12.75">
      <c r="A14" s="264"/>
      <c r="B14" s="177">
        <f>RCL!B5</f>
        <v>2022</v>
      </c>
      <c r="C14" s="177">
        <f>RCL!C5</f>
        <v>2023</v>
      </c>
      <c r="D14" s="177">
        <f>RCL!D5</f>
        <v>2024</v>
      </c>
      <c r="E14" s="177">
        <f>RCL!E5</f>
        <v>2025</v>
      </c>
    </row>
    <row r="15" spans="1:5" ht="12.75">
      <c r="A15" s="182" t="s">
        <v>196</v>
      </c>
      <c r="B15" s="179">
        <f>RCL!B13*0.06</f>
        <v>5563897.144665496</v>
      </c>
      <c r="C15" s="179">
        <f>RCL!C13*0.06</f>
        <v>5624495.954338868</v>
      </c>
      <c r="D15" s="179">
        <f>RCL!D13*0.06</f>
        <v>5751487.957226634</v>
      </c>
      <c r="E15" s="179">
        <f>RCL!E13*0.06</f>
        <v>5816273.216505975</v>
      </c>
    </row>
    <row r="16" spans="1:5" ht="12.75">
      <c r="A16" s="183" t="s">
        <v>197</v>
      </c>
      <c r="B16" s="179">
        <f>RCL!B13*0.057</f>
        <v>5285702.287432223</v>
      </c>
      <c r="C16" s="179">
        <f>RCL!C13*0.057</f>
        <v>5343271.1566219255</v>
      </c>
      <c r="D16" s="179">
        <f>RCL!D13*0.057</f>
        <v>5463913.559365303</v>
      </c>
      <c r="E16" s="179">
        <f>RCL!E13*0.057</f>
        <v>5525459.555680677</v>
      </c>
    </row>
    <row r="17" spans="1:5" ht="12.75">
      <c r="A17" s="184" t="s">
        <v>198</v>
      </c>
      <c r="B17" s="179">
        <f>RCL!B13*0.054</f>
        <v>5007507.430198947</v>
      </c>
      <c r="C17" s="179">
        <f>RCL!C13*0.054</f>
        <v>5062046.358904982</v>
      </c>
      <c r="D17" s="179">
        <f>RCL!D13*0.054</f>
        <v>5176339.161503972</v>
      </c>
      <c r="E17" s="179">
        <f>RCL!E13*0.054</f>
        <v>5234645.894855378</v>
      </c>
    </row>
    <row r="20" spans="1:5" ht="12.75">
      <c r="A20" s="56"/>
      <c r="B20" s="57"/>
      <c r="C20" s="57"/>
      <c r="D20" s="57"/>
      <c r="E20" s="57"/>
    </row>
    <row r="21" spans="1:5" ht="12.75">
      <c r="A21" s="57"/>
      <c r="B21" s="57"/>
      <c r="C21" s="57"/>
      <c r="D21" s="57"/>
      <c r="E21" s="57"/>
    </row>
    <row r="22" spans="1:5" ht="12.75">
      <c r="A22" s="57"/>
      <c r="B22" s="57"/>
      <c r="C22" s="57"/>
      <c r="D22" s="57"/>
      <c r="E22" s="57"/>
    </row>
    <row r="23" spans="1:5" ht="12.75">
      <c r="A23" s="57"/>
      <c r="B23" s="57"/>
      <c r="C23" s="57"/>
      <c r="D23" s="57"/>
      <c r="E23" s="57"/>
    </row>
    <row r="24" spans="1:5" ht="12.75">
      <c r="A24" s="57"/>
      <c r="B24" s="57"/>
      <c r="C24" s="57"/>
      <c r="D24" s="57"/>
      <c r="E24" s="57"/>
    </row>
    <row r="25" spans="1:5" ht="12.75">
      <c r="A25" s="57"/>
      <c r="B25" s="57"/>
      <c r="C25" s="57"/>
      <c r="D25" s="57"/>
      <c r="E25" s="57"/>
    </row>
    <row r="26" spans="1:5" ht="12.75">
      <c r="A26" s="57"/>
      <c r="B26" s="57"/>
      <c r="C26" s="57"/>
      <c r="D26" s="57"/>
      <c r="E26" s="57"/>
    </row>
    <row r="27" spans="1:5" ht="12.75">
      <c r="A27" s="57"/>
      <c r="B27" s="57"/>
      <c r="C27" s="57"/>
      <c r="D27" s="57"/>
      <c r="E27" s="57"/>
    </row>
    <row r="28" spans="1:5" ht="12.75">
      <c r="A28" s="57"/>
      <c r="B28" s="57"/>
      <c r="C28" s="57"/>
      <c r="D28" s="57"/>
      <c r="E28" s="57"/>
    </row>
    <row r="29" spans="1:5" ht="12.75">
      <c r="A29" s="57"/>
      <c r="B29" s="57"/>
      <c r="C29" s="57"/>
      <c r="D29" s="57"/>
      <c r="E29" s="57"/>
    </row>
    <row r="30" spans="1:5" ht="12.75">
      <c r="A30" s="57"/>
      <c r="B30" s="57"/>
      <c r="C30" s="57"/>
      <c r="D30" s="57"/>
      <c r="E30" s="57"/>
    </row>
    <row r="31" spans="1:5" ht="12.75">
      <c r="A31" s="57"/>
      <c r="B31" s="57"/>
      <c r="C31" s="57"/>
      <c r="D31" s="57"/>
      <c r="E31" s="57"/>
    </row>
    <row r="32" spans="1:5" ht="12.75">
      <c r="A32" s="57"/>
      <c r="B32" s="57"/>
      <c r="C32" s="57"/>
      <c r="D32" s="57"/>
      <c r="E32" s="57"/>
    </row>
    <row r="33" spans="1:5" ht="12.75">
      <c r="A33" s="57"/>
      <c r="B33" s="57"/>
      <c r="C33" s="57"/>
      <c r="D33" s="57"/>
      <c r="E33" s="57"/>
    </row>
    <row r="34" spans="1:5" ht="12.75">
      <c r="A34" s="57"/>
      <c r="B34" s="57"/>
      <c r="C34" s="57"/>
      <c r="D34" s="57"/>
      <c r="E34" s="57"/>
    </row>
    <row r="35" spans="1:5" ht="0.75" customHeight="1">
      <c r="A35" s="57"/>
      <c r="B35" s="57"/>
      <c r="C35" s="57"/>
      <c r="D35" s="57"/>
      <c r="E35" s="57"/>
    </row>
    <row r="36" spans="1:5" ht="12.75" customHeight="1" hidden="1">
      <c r="A36" s="57"/>
      <c r="B36" s="57"/>
      <c r="C36" s="57"/>
      <c r="D36" s="57"/>
      <c r="E36" s="57"/>
    </row>
    <row r="37" spans="1:5" ht="12.75" customHeight="1" hidden="1">
      <c r="A37" s="57"/>
      <c r="B37" s="57"/>
      <c r="C37" s="57"/>
      <c r="D37" s="57"/>
      <c r="E37" s="57"/>
    </row>
    <row r="38" spans="1:5" ht="12.75" customHeight="1" hidden="1">
      <c r="A38" s="57"/>
      <c r="B38" s="57"/>
      <c r="C38" s="57"/>
      <c r="D38" s="57"/>
      <c r="E38" s="57"/>
    </row>
    <row r="39" spans="1:5" ht="12.75" customHeight="1" hidden="1">
      <c r="A39" s="57"/>
      <c r="B39" s="57"/>
      <c r="C39" s="57"/>
      <c r="D39" s="57"/>
      <c r="E39" s="57"/>
    </row>
    <row r="40" spans="1:5" ht="12.75" customHeight="1" hidden="1">
      <c r="A40" s="57"/>
      <c r="B40" s="57"/>
      <c r="C40" s="57"/>
      <c r="D40" s="57"/>
      <c r="E40" s="57"/>
    </row>
    <row r="41" spans="1:5" ht="12.75" customHeight="1" hidden="1">
      <c r="A41" s="57"/>
      <c r="B41" s="57"/>
      <c r="C41" s="57"/>
      <c r="D41" s="57"/>
      <c r="E41" s="57"/>
    </row>
    <row r="42" spans="1:5" ht="12.75" customHeight="1" hidden="1">
      <c r="A42" s="57"/>
      <c r="B42" s="57"/>
      <c r="C42" s="57"/>
      <c r="D42" s="57"/>
      <c r="E42" s="57"/>
    </row>
  </sheetData>
  <sheetProtection/>
  <mergeCells count="8">
    <mergeCell ref="B13:E13"/>
    <mergeCell ref="A13:A14"/>
    <mergeCell ref="A1:D1"/>
    <mergeCell ref="A2:D2"/>
    <mergeCell ref="A5:A6"/>
    <mergeCell ref="B5:E5"/>
    <mergeCell ref="A10:E10"/>
    <mergeCell ref="A3:E3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73"/>
  <sheetViews>
    <sheetView zoomScalePageLayoutView="0" workbookViewId="0" topLeftCell="A16">
      <selection activeCell="T64" sqref="T64"/>
    </sheetView>
  </sheetViews>
  <sheetFormatPr defaultColWidth="9.140625" defaultRowHeight="12.75"/>
  <cols>
    <col min="1" max="1" width="3.28125" style="198" customWidth="1"/>
    <col min="2" max="2" width="0.2890625" style="198" customWidth="1"/>
    <col min="3" max="3" width="0.13671875" style="198" customWidth="1"/>
    <col min="4" max="4" width="2.28125" style="198" customWidth="1"/>
    <col min="5" max="5" width="7.7109375" style="198" customWidth="1"/>
    <col min="6" max="6" width="3.140625" style="198" customWidth="1"/>
    <col min="7" max="7" width="3.28125" style="198" customWidth="1"/>
    <col min="8" max="8" width="14.00390625" style="198" customWidth="1"/>
    <col min="9" max="9" width="14.7109375" style="198" customWidth="1"/>
    <col min="10" max="10" width="15.421875" style="198" customWidth="1"/>
    <col min="11" max="13" width="11.7109375" style="198" bestFit="1" customWidth="1"/>
    <col min="14" max="16384" width="9.140625" style="198" customWidth="1"/>
  </cols>
  <sheetData>
    <row r="1" spans="1:31" ht="15" customHeight="1">
      <c r="A1" s="294"/>
      <c r="B1" s="254"/>
      <c r="C1" s="254"/>
      <c r="D1" s="254"/>
      <c r="E1" s="254"/>
      <c r="F1" s="294"/>
      <c r="G1" s="254"/>
      <c r="H1" s="254"/>
      <c r="I1" s="254"/>
      <c r="J1" s="254"/>
      <c r="K1" s="294"/>
      <c r="L1" s="254"/>
      <c r="M1" s="254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1:32" ht="21" customHeight="1">
      <c r="A2" s="237" t="s">
        <v>452</v>
      </c>
      <c r="B2" s="234"/>
      <c r="C2" s="234"/>
      <c r="D2" s="235"/>
      <c r="E2" s="235"/>
      <c r="F2" s="236"/>
      <c r="G2" s="236"/>
      <c r="H2" s="236"/>
      <c r="I2" s="236"/>
      <c r="J2" s="236"/>
      <c r="K2" s="236"/>
      <c r="L2" s="236"/>
      <c r="M2" s="236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</row>
    <row r="3" spans="1:32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</row>
    <row r="4" spans="1:32" ht="45.75" customHeight="1">
      <c r="A4" s="197"/>
      <c r="B4" s="197"/>
      <c r="C4" s="197"/>
      <c r="D4" s="197"/>
      <c r="E4" s="197"/>
      <c r="F4" s="197"/>
      <c r="G4" s="277" t="s">
        <v>430</v>
      </c>
      <c r="H4" s="277"/>
      <c r="I4" s="277"/>
      <c r="J4" s="277"/>
      <c r="K4" s="277"/>
      <c r="L4" s="277"/>
      <c r="M4" s="27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</row>
    <row r="5" spans="1:32" ht="15.75" customHeight="1">
      <c r="A5" s="197"/>
      <c r="B5" s="197"/>
      <c r="C5" s="197"/>
      <c r="D5" s="197"/>
      <c r="E5" s="197"/>
      <c r="F5" s="197"/>
      <c r="G5" s="206"/>
      <c r="H5" s="206"/>
      <c r="I5" s="277" t="s">
        <v>453</v>
      </c>
      <c r="J5" s="277"/>
      <c r="K5" s="277"/>
      <c r="L5" s="277"/>
      <c r="M5" s="20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</row>
    <row r="6" spans="1:32" ht="0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</row>
    <row r="7" spans="1:32" ht="0.75" customHeight="1">
      <c r="A7" s="197"/>
      <c r="B7" s="284"/>
      <c r="C7" s="284"/>
      <c r="D7" s="284"/>
      <c r="E7" s="284"/>
      <c r="F7" s="284"/>
      <c r="G7" s="284"/>
      <c r="H7" s="284"/>
      <c r="I7" s="284"/>
      <c r="J7" s="284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</row>
    <row r="8" spans="1:32" ht="6" customHeight="1">
      <c r="A8" s="197"/>
      <c r="B8" s="209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</row>
    <row r="9" spans="1:32" ht="0.75" customHeight="1">
      <c r="A9" s="197"/>
      <c r="B9" s="211"/>
      <c r="C9" s="212"/>
      <c r="D9" s="212"/>
      <c r="E9" s="212"/>
      <c r="F9" s="212"/>
      <c r="G9" s="212"/>
      <c r="H9" s="212"/>
      <c r="I9" s="212"/>
      <c r="J9" s="213"/>
      <c r="K9" s="212"/>
      <c r="L9" s="212"/>
      <c r="M9" s="214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</row>
    <row r="10" spans="1:32" ht="4.5" customHeight="1">
      <c r="A10" s="197"/>
      <c r="B10" s="211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4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</row>
    <row r="11" spans="1:32" ht="1.5" customHeight="1">
      <c r="A11" s="197"/>
      <c r="B11" s="211"/>
      <c r="C11" s="212"/>
      <c r="D11" s="212"/>
      <c r="E11" s="212"/>
      <c r="F11" s="212"/>
      <c r="G11" s="212"/>
      <c r="H11" s="212"/>
      <c r="I11" s="212"/>
      <c r="J11" s="212"/>
      <c r="K11" s="215"/>
      <c r="L11" s="215"/>
      <c r="M11" s="216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</row>
    <row r="12" spans="1:32" ht="10.5" customHeight="1">
      <c r="A12" s="197"/>
      <c r="B12" s="289" t="s">
        <v>418</v>
      </c>
      <c r="C12" s="290"/>
      <c r="D12" s="290"/>
      <c r="E12" s="290"/>
      <c r="F12" s="290"/>
      <c r="G12" s="290"/>
      <c r="H12" s="290"/>
      <c r="I12" s="290"/>
      <c r="J12" s="217">
        <v>2022</v>
      </c>
      <c r="K12" s="217">
        <v>2023</v>
      </c>
      <c r="L12" s="217">
        <v>2024</v>
      </c>
      <c r="M12" s="218">
        <v>2025</v>
      </c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</row>
    <row r="13" spans="1:32" ht="1.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L13" s="199"/>
      <c r="M13" s="199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</row>
    <row r="14" spans="1:32" ht="1.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L14" s="199"/>
      <c r="M14" s="199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</row>
    <row r="15" spans="1:32" ht="10.5" customHeight="1">
      <c r="A15" s="197"/>
      <c r="B15" s="283" t="s">
        <v>419</v>
      </c>
      <c r="C15" s="283"/>
      <c r="D15" s="283"/>
      <c r="E15" s="283"/>
      <c r="F15" s="283"/>
      <c r="G15" s="283"/>
      <c r="H15" s="283"/>
      <c r="I15" s="283"/>
      <c r="J15" s="202">
        <f>Projeções!F144-Projeções!F145</f>
        <v>49977071.64285418</v>
      </c>
      <c r="K15" s="202">
        <f>Projeções!G144-Projeções!G145</f>
        <v>48390396.63075162</v>
      </c>
      <c r="L15" s="202">
        <f>Projeções!H144-Projeções!H145</f>
        <v>49751193.820690356</v>
      </c>
      <c r="M15" s="202">
        <f>Projeções!I144-Projeções!I145</f>
        <v>51629598.6139904</v>
      </c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2" ht="1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200"/>
      <c r="L16" s="199"/>
      <c r="M16" s="199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</row>
    <row r="17" spans="1:32" ht="0.75" customHeight="1">
      <c r="A17" s="197"/>
      <c r="B17" s="284"/>
      <c r="C17" s="284"/>
      <c r="D17" s="284"/>
      <c r="E17" s="284"/>
      <c r="F17" s="284"/>
      <c r="G17" s="284"/>
      <c r="H17" s="284"/>
      <c r="I17" s="284"/>
      <c r="J17" s="284"/>
      <c r="K17" s="200"/>
      <c r="L17" s="199"/>
      <c r="M17" s="199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</row>
    <row r="18" spans="1:32" ht="6.7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200"/>
      <c r="L18" s="199"/>
      <c r="M18" s="199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</row>
    <row r="19" spans="1:32" ht="10.5" customHeight="1">
      <c r="A19" s="197"/>
      <c r="B19" s="197"/>
      <c r="C19" s="293" t="s">
        <v>177</v>
      </c>
      <c r="D19" s="293"/>
      <c r="E19" s="293"/>
      <c r="F19" s="293"/>
      <c r="G19" s="293"/>
      <c r="H19" s="197"/>
      <c r="I19" s="197"/>
      <c r="J19" s="200">
        <f>J22+J27</f>
        <v>5175273.4045236325</v>
      </c>
      <c r="K19" s="200">
        <f>K22+K27</f>
        <v>5101581.355093469</v>
      </c>
      <c r="L19" s="199">
        <f>L22+L27</f>
        <v>5338231.278395519</v>
      </c>
      <c r="M19" s="199">
        <f>M22+M27</f>
        <v>5436858.780699639</v>
      </c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</row>
    <row r="20" spans="1:32" ht="7.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200"/>
      <c r="L20" s="199"/>
      <c r="M20" s="199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</row>
    <row r="21" spans="1:32" ht="1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200"/>
      <c r="L21" s="199"/>
      <c r="M21" s="199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1:32" ht="10.5" customHeight="1">
      <c r="A22" s="197"/>
      <c r="B22" s="283" t="s">
        <v>423</v>
      </c>
      <c r="C22" s="283"/>
      <c r="D22" s="283"/>
      <c r="E22" s="283"/>
      <c r="F22" s="283"/>
      <c r="G22" s="283"/>
      <c r="H22" s="283"/>
      <c r="I22" s="283"/>
      <c r="J22" s="200">
        <f>Projeções!F149</f>
        <v>4804141.854576966</v>
      </c>
      <c r="K22" s="200">
        <f>Projeções!G149</f>
        <v>4710941.639736825</v>
      </c>
      <c r="L22" s="200">
        <f>Projeções!H149</f>
        <v>4939013.143974715</v>
      </c>
      <c r="M22" s="200">
        <f>Projeções!I149</f>
        <v>5038252.420127693</v>
      </c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</row>
    <row r="23" spans="1:32" ht="1.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200"/>
      <c r="L23" s="199"/>
      <c r="M23" s="199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</row>
    <row r="24" spans="1:32" ht="1.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200"/>
      <c r="L24" s="199"/>
      <c r="M24" s="199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</row>
    <row r="25" spans="1:32" ht="1.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200"/>
      <c r="L25" s="199"/>
      <c r="M25" s="199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</row>
    <row r="26" spans="1:32" ht="1.5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200"/>
      <c r="L26" s="199"/>
      <c r="M26" s="199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</row>
    <row r="27" spans="1:32" ht="10.5" customHeight="1">
      <c r="A27" s="197"/>
      <c r="B27" s="283" t="s">
        <v>451</v>
      </c>
      <c r="C27" s="283"/>
      <c r="D27" s="283"/>
      <c r="E27" s="283"/>
      <c r="F27" s="283"/>
      <c r="G27" s="283"/>
      <c r="H27" s="283"/>
      <c r="I27" s="283"/>
      <c r="J27" s="200">
        <f>J68</f>
        <v>371131.5499466667</v>
      </c>
      <c r="K27" s="200">
        <f>K68</f>
        <v>390639.7153566445</v>
      </c>
      <c r="L27" s="200">
        <f>L68</f>
        <v>399218.1344208035</v>
      </c>
      <c r="M27" s="200">
        <f>M68</f>
        <v>398606.3605719461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</row>
    <row r="28" spans="1:32" ht="1.5" customHeight="1">
      <c r="A28" s="197"/>
      <c r="B28" s="283"/>
      <c r="C28" s="283"/>
      <c r="D28" s="283"/>
      <c r="E28" s="283"/>
      <c r="F28" s="283"/>
      <c r="G28" s="283"/>
      <c r="H28" s="283"/>
      <c r="I28" s="283"/>
      <c r="J28" s="197"/>
      <c r="K28" s="200"/>
      <c r="L28" s="199"/>
      <c r="M28" s="199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</row>
    <row r="29" spans="1:32" ht="4.5" customHeight="1">
      <c r="A29" s="197"/>
      <c r="B29" s="283"/>
      <c r="C29" s="283"/>
      <c r="D29" s="283"/>
      <c r="E29" s="283"/>
      <c r="F29" s="283"/>
      <c r="G29" s="283"/>
      <c r="H29" s="283"/>
      <c r="I29" s="283"/>
      <c r="J29" s="197"/>
      <c r="K29" s="200"/>
      <c r="L29" s="199"/>
      <c r="M29" s="199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</row>
    <row r="30" spans="1:32" ht="1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200"/>
      <c r="L30" s="199"/>
      <c r="M30" s="199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</row>
    <row r="31" spans="1:32" ht="1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200"/>
      <c r="L31" s="199"/>
      <c r="M31" s="199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ht="1.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200"/>
      <c r="L32" s="199"/>
      <c r="M32" s="199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ht="0.75" customHeight="1">
      <c r="A33" s="197"/>
      <c r="B33" s="284"/>
      <c r="C33" s="284"/>
      <c r="D33" s="284"/>
      <c r="E33" s="284"/>
      <c r="F33" s="284"/>
      <c r="G33" s="284"/>
      <c r="H33" s="284"/>
      <c r="I33" s="284"/>
      <c r="J33" s="284"/>
      <c r="K33" s="200"/>
      <c r="L33" s="199"/>
      <c r="M33" s="199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ht="0.7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200"/>
      <c r="L34" s="199"/>
      <c r="M34" s="199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1:32" ht="0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200"/>
      <c r="L35" s="199"/>
      <c r="M35" s="199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</row>
    <row r="36" spans="1:32" ht="0.75" customHeight="1">
      <c r="A36" s="197"/>
      <c r="B36" s="284"/>
      <c r="C36" s="284"/>
      <c r="D36" s="284"/>
      <c r="E36" s="284"/>
      <c r="F36" s="284"/>
      <c r="G36" s="284"/>
      <c r="H36" s="284"/>
      <c r="I36" s="284"/>
      <c r="J36" s="284"/>
      <c r="K36" s="200"/>
      <c r="L36" s="199"/>
      <c r="M36" s="199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</row>
    <row r="37" spans="1:32" ht="1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200"/>
      <c r="L37" s="199"/>
      <c r="M37" s="199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</row>
    <row r="38" spans="1:32" ht="0.75" customHeight="1">
      <c r="A38" s="197"/>
      <c r="B38" s="284"/>
      <c r="C38" s="284"/>
      <c r="D38" s="284"/>
      <c r="E38" s="284"/>
      <c r="F38" s="284"/>
      <c r="G38" s="284"/>
      <c r="H38" s="284"/>
      <c r="I38" s="284"/>
      <c r="J38" s="284"/>
      <c r="K38" s="200"/>
      <c r="L38" s="199"/>
      <c r="M38" s="199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</row>
    <row r="39" spans="1:32" ht="0.7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200"/>
      <c r="L39" s="199"/>
      <c r="M39" s="199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</row>
    <row r="40" spans="1:32" ht="10.5" customHeight="1">
      <c r="A40" s="197"/>
      <c r="B40" s="283" t="s">
        <v>425</v>
      </c>
      <c r="C40" s="283"/>
      <c r="D40" s="283"/>
      <c r="E40" s="283"/>
      <c r="F40" s="283"/>
      <c r="G40" s="283"/>
      <c r="H40" s="283"/>
      <c r="I40" s="283"/>
      <c r="J40" s="200">
        <f>J15-J19</f>
        <v>44801798.23833054</v>
      </c>
      <c r="K40" s="200">
        <f>K15-K19</f>
        <v>43288815.275658146</v>
      </c>
      <c r="L40" s="200">
        <f>L15-L19</f>
        <v>44412962.54229484</v>
      </c>
      <c r="M40" s="200">
        <f>M15-M19</f>
        <v>46192739.83329076</v>
      </c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</row>
    <row r="41" spans="1:32" ht="1.5" customHeight="1">
      <c r="A41" s="197"/>
      <c r="B41" s="283"/>
      <c r="C41" s="283"/>
      <c r="D41" s="283"/>
      <c r="E41" s="283"/>
      <c r="F41" s="283"/>
      <c r="G41" s="283"/>
      <c r="H41" s="283"/>
      <c r="I41" s="283"/>
      <c r="J41" s="197"/>
      <c r="K41" s="200"/>
      <c r="L41" s="199"/>
      <c r="M41" s="199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</row>
    <row r="42" spans="1:32" ht="4.5" customHeight="1">
      <c r="A42" s="197"/>
      <c r="B42" s="283"/>
      <c r="C42" s="283"/>
      <c r="D42" s="283"/>
      <c r="E42" s="283"/>
      <c r="F42" s="283"/>
      <c r="G42" s="283"/>
      <c r="H42" s="283"/>
      <c r="I42" s="283"/>
      <c r="J42" s="197"/>
      <c r="K42" s="200"/>
      <c r="L42" s="199"/>
      <c r="M42" s="199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</row>
    <row r="43" spans="1:32" ht="1.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200"/>
      <c r="L43" s="199"/>
      <c r="M43" s="199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</row>
    <row r="44" spans="1:32" ht="0.75" customHeight="1">
      <c r="A44" s="197"/>
      <c r="B44" s="284"/>
      <c r="C44" s="284"/>
      <c r="D44" s="284"/>
      <c r="E44" s="284"/>
      <c r="F44" s="284"/>
      <c r="G44" s="284"/>
      <c r="H44" s="284"/>
      <c r="I44" s="284"/>
      <c r="J44" s="284"/>
      <c r="K44" s="200"/>
      <c r="L44" s="199"/>
      <c r="M44" s="199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</row>
    <row r="45" spans="1:32" ht="0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200"/>
      <c r="L45" s="199"/>
      <c r="M45" s="199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</row>
    <row r="46" spans="1:32" ht="10.5" customHeight="1">
      <c r="A46" s="197"/>
      <c r="B46" s="283" t="s">
        <v>420</v>
      </c>
      <c r="C46" s="283"/>
      <c r="D46" s="283"/>
      <c r="E46" s="283"/>
      <c r="F46" s="283"/>
      <c r="G46" s="283"/>
      <c r="H46" s="283"/>
      <c r="I46" s="283"/>
      <c r="J46" s="208">
        <f>RCL!B13</f>
        <v>92731619.07775828</v>
      </c>
      <c r="K46" s="208">
        <f>RCL!C13</f>
        <v>93741599.23898114</v>
      </c>
      <c r="L46" s="208">
        <f>RCL!D13</f>
        <v>95858132.62044391</v>
      </c>
      <c r="M46" s="208">
        <f>RCL!E13</f>
        <v>96937886.94176626</v>
      </c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</row>
    <row r="47" spans="1:32" ht="0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200"/>
      <c r="L47" s="199"/>
      <c r="M47" s="199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</row>
    <row r="48" spans="1:32" ht="0.75" customHeight="1">
      <c r="A48" s="197"/>
      <c r="B48" s="284"/>
      <c r="C48" s="284"/>
      <c r="D48" s="284"/>
      <c r="E48" s="284"/>
      <c r="F48" s="284"/>
      <c r="G48" s="284"/>
      <c r="H48" s="284"/>
      <c r="I48" s="284"/>
      <c r="J48" s="284"/>
      <c r="K48" s="200"/>
      <c r="L48" s="199"/>
      <c r="M48" s="199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</row>
    <row r="49" spans="1:32" ht="14.25" customHeight="1">
      <c r="A49" s="197"/>
      <c r="B49" s="197"/>
      <c r="C49" s="197"/>
      <c r="D49" s="292" t="s">
        <v>424</v>
      </c>
      <c r="E49" s="292"/>
      <c r="F49" s="292"/>
      <c r="G49" s="292"/>
      <c r="H49" s="292"/>
      <c r="I49" s="292"/>
      <c r="J49" s="201">
        <f>J40/J46</f>
        <v>0.48313400201459733</v>
      </c>
      <c r="K49" s="201">
        <f>K40/K46</f>
        <v>0.46178874296030886</v>
      </c>
      <c r="L49" s="201">
        <f>L40/L46</f>
        <v>0.4633197134994342</v>
      </c>
      <c r="M49" s="201">
        <f>M40/M46</f>
        <v>0.47651894724134275</v>
      </c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</row>
    <row r="50" spans="1:32" ht="1.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200"/>
      <c r="L50" s="199"/>
      <c r="M50" s="199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</row>
    <row r="51" spans="1:32" ht="10.5" customHeight="1">
      <c r="A51" s="197"/>
      <c r="B51" s="283" t="s">
        <v>421</v>
      </c>
      <c r="C51" s="283"/>
      <c r="D51" s="283"/>
      <c r="E51" s="283"/>
      <c r="F51" s="283"/>
      <c r="G51" s="283"/>
      <c r="H51" s="283"/>
      <c r="I51" s="283"/>
      <c r="J51" s="200">
        <f>J46*0.486</f>
        <v>45067566.87179052</v>
      </c>
      <c r="K51" s="200">
        <f>K46*0.486</f>
        <v>45558417.230144836</v>
      </c>
      <c r="L51" s="200">
        <f>L46*0.486</f>
        <v>46587052.453535736</v>
      </c>
      <c r="M51" s="200">
        <f>M46*0.486</f>
        <v>47111813.053698406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</row>
    <row r="52" spans="1:32" ht="1.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200"/>
      <c r="L52" s="199"/>
      <c r="M52" s="199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</row>
    <row r="53" spans="1:32" ht="1.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200"/>
      <c r="L53" s="199"/>
      <c r="M53" s="199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</row>
    <row r="54" spans="1:32" ht="10.5" customHeight="1">
      <c r="A54" s="197"/>
      <c r="B54" s="283" t="s">
        <v>422</v>
      </c>
      <c r="C54" s="283"/>
      <c r="D54" s="283"/>
      <c r="E54" s="283"/>
      <c r="F54" s="283"/>
      <c r="G54" s="283"/>
      <c r="H54" s="283"/>
      <c r="I54" s="283"/>
      <c r="J54" s="200">
        <f>J46*0.513</f>
        <v>47571320.58689</v>
      </c>
      <c r="K54" s="200">
        <f>K46*0.513</f>
        <v>48089440.40959733</v>
      </c>
      <c r="L54" s="200">
        <f>L46*0.513</f>
        <v>49175222.03428773</v>
      </c>
      <c r="M54" s="200">
        <f>M46*0.513</f>
        <v>49729136.001126096</v>
      </c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</row>
    <row r="55" spans="1:32" ht="1.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200"/>
      <c r="L55" s="199"/>
      <c r="M55" s="199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</row>
    <row r="56" spans="1:32" ht="1.5" customHeight="1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200"/>
      <c r="L56" s="199"/>
      <c r="M56" s="199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</row>
    <row r="57" spans="1:31" ht="0.75" customHeight="1">
      <c r="A57" s="197"/>
      <c r="B57" s="291"/>
      <c r="C57" s="291"/>
      <c r="D57" s="291"/>
      <c r="E57" s="291"/>
      <c r="F57" s="291"/>
      <c r="G57" s="291"/>
      <c r="H57" s="291"/>
      <c r="I57" s="291"/>
      <c r="J57" s="291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</row>
    <row r="58" spans="4:31" ht="15">
      <c r="D58" s="219"/>
      <c r="E58" s="220"/>
      <c r="F58" s="220"/>
      <c r="G58" s="220"/>
      <c r="H58" s="220"/>
      <c r="I58" s="220"/>
      <c r="J58" s="220"/>
      <c r="K58" s="220"/>
      <c r="L58" s="220"/>
      <c r="M58" s="221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</row>
    <row r="59" spans="4:31" ht="15" customHeight="1">
      <c r="D59" s="285" t="s">
        <v>432</v>
      </c>
      <c r="E59" s="286"/>
      <c r="F59" s="286"/>
      <c r="G59" s="286"/>
      <c r="H59" s="286"/>
      <c r="I59" s="286"/>
      <c r="J59" s="286"/>
      <c r="K59" s="286"/>
      <c r="L59" s="286"/>
      <c r="M59" s="28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</row>
    <row r="60" spans="4:31" ht="15">
      <c r="D60" s="285"/>
      <c r="E60" s="286"/>
      <c r="F60" s="286"/>
      <c r="G60" s="286"/>
      <c r="H60" s="286"/>
      <c r="I60" s="286"/>
      <c r="J60" s="286"/>
      <c r="K60" s="286"/>
      <c r="L60" s="286"/>
      <c r="M60" s="28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</row>
    <row r="61" spans="4:31" ht="15">
      <c r="D61" s="285"/>
      <c r="E61" s="286"/>
      <c r="F61" s="286"/>
      <c r="G61" s="286"/>
      <c r="H61" s="286"/>
      <c r="I61" s="286"/>
      <c r="J61" s="286"/>
      <c r="K61" s="286"/>
      <c r="L61" s="286"/>
      <c r="M61" s="28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</row>
    <row r="62" spans="4:31" ht="15">
      <c r="D62" s="285" t="s">
        <v>433</v>
      </c>
      <c r="E62" s="286"/>
      <c r="F62" s="286"/>
      <c r="G62" s="286"/>
      <c r="H62" s="286"/>
      <c r="I62" s="286"/>
      <c r="J62" s="286"/>
      <c r="K62" s="286"/>
      <c r="L62" s="286"/>
      <c r="M62" s="28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</row>
    <row r="63" spans="4:31" ht="15">
      <c r="D63" s="220"/>
      <c r="E63" s="220"/>
      <c r="F63" s="220"/>
      <c r="G63" s="220"/>
      <c r="H63" s="278" t="s">
        <v>454</v>
      </c>
      <c r="I63" s="278"/>
      <c r="J63" s="278"/>
      <c r="K63" s="278"/>
      <c r="L63" s="220"/>
      <c r="M63" s="220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</row>
    <row r="64" spans="4:31" ht="15" customHeight="1">
      <c r="D64" s="288" t="s">
        <v>418</v>
      </c>
      <c r="E64" s="288"/>
      <c r="F64" s="288"/>
      <c r="G64" s="288"/>
      <c r="H64" s="288"/>
      <c r="I64" s="288"/>
      <c r="J64" s="222">
        <v>2022</v>
      </c>
      <c r="K64" s="222">
        <v>2023</v>
      </c>
      <c r="L64" s="222">
        <v>2024</v>
      </c>
      <c r="M64" s="222">
        <v>2025</v>
      </c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</row>
    <row r="65" spans="4:31" ht="15" customHeight="1">
      <c r="D65" s="276" t="s">
        <v>435</v>
      </c>
      <c r="E65" s="276"/>
      <c r="F65" s="276"/>
      <c r="G65" s="276"/>
      <c r="H65" s="276"/>
      <c r="I65" s="276"/>
      <c r="J65" s="223">
        <f>J15</f>
        <v>49977071.64285418</v>
      </c>
      <c r="K65" s="223">
        <f>K15</f>
        <v>48390396.63075162</v>
      </c>
      <c r="L65" s="223">
        <f>L15</f>
        <v>49751193.820690356</v>
      </c>
      <c r="M65" s="223">
        <f>M15</f>
        <v>51629598.6139904</v>
      </c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</row>
    <row r="66" spans="4:31" ht="15" customHeight="1">
      <c r="D66" s="276" t="s">
        <v>434</v>
      </c>
      <c r="E66" s="276"/>
      <c r="F66" s="276"/>
      <c r="G66" s="276"/>
      <c r="H66" s="276"/>
      <c r="I66" s="276"/>
      <c r="J66" s="223">
        <f>J67+J68</f>
        <v>5175273.4045236325</v>
      </c>
      <c r="K66" s="223">
        <f>K67+K68</f>
        <v>5101581.355093469</v>
      </c>
      <c r="L66" s="223">
        <f>L67+L68</f>
        <v>5338231.278395519</v>
      </c>
      <c r="M66" s="223">
        <f>M67+M68</f>
        <v>5436858.780699639</v>
      </c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</row>
    <row r="67" spans="4:31" ht="15" customHeight="1">
      <c r="D67" s="276" t="s">
        <v>436</v>
      </c>
      <c r="E67" s="276"/>
      <c r="F67" s="276"/>
      <c r="G67" s="276"/>
      <c r="H67" s="276"/>
      <c r="I67" s="276"/>
      <c r="J67" s="223">
        <f>J22</f>
        <v>4804141.854576966</v>
      </c>
      <c r="K67" s="223">
        <f>K22</f>
        <v>4710941.639736825</v>
      </c>
      <c r="L67" s="223">
        <f>L22</f>
        <v>4939013.143974715</v>
      </c>
      <c r="M67" s="223">
        <f>M22</f>
        <v>5038252.420127693</v>
      </c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</row>
    <row r="68" spans="4:31" ht="15">
      <c r="D68" s="276" t="s">
        <v>437</v>
      </c>
      <c r="E68" s="276"/>
      <c r="F68" s="276"/>
      <c r="G68" s="276"/>
      <c r="H68" s="276"/>
      <c r="I68" s="276"/>
      <c r="J68" s="223">
        <f>Projeções!F185</f>
        <v>371131.5499466667</v>
      </c>
      <c r="K68" s="223">
        <f>Projeções!G185</f>
        <v>390639.7153566445</v>
      </c>
      <c r="L68" s="223">
        <f>Projeções!H185</f>
        <v>399218.1344208035</v>
      </c>
      <c r="M68" s="223">
        <f>Projeções!I185</f>
        <v>398606.3605719461</v>
      </c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</row>
    <row r="69" spans="4:31" ht="15">
      <c r="D69" s="276" t="s">
        <v>438</v>
      </c>
      <c r="E69" s="276"/>
      <c r="F69" s="276"/>
      <c r="G69" s="276"/>
      <c r="H69" s="276"/>
      <c r="I69" s="276"/>
      <c r="J69" s="223">
        <f>J65-J66</f>
        <v>44801798.23833054</v>
      </c>
      <c r="K69" s="223">
        <f>K65-K66</f>
        <v>43288815.275658146</v>
      </c>
      <c r="L69" s="223">
        <f>L65-L66</f>
        <v>44412962.54229484</v>
      </c>
      <c r="M69" s="223">
        <f>M65-M66</f>
        <v>46192739.83329076</v>
      </c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</row>
    <row r="70" spans="4:31" ht="15" customHeight="1" thickBot="1">
      <c r="D70" s="279" t="s">
        <v>420</v>
      </c>
      <c r="E70" s="279"/>
      <c r="F70" s="279"/>
      <c r="G70" s="279"/>
      <c r="H70" s="279"/>
      <c r="I70" s="279"/>
      <c r="J70" s="224">
        <f>RCL!B24</f>
        <v>92731619.07775828</v>
      </c>
      <c r="K70" s="224">
        <f>RCL!C24</f>
        <v>93741599.23898114</v>
      </c>
      <c r="L70" s="224">
        <f>RCL!D24</f>
        <v>95858132.62044391</v>
      </c>
      <c r="M70" s="224">
        <f>RCL!E24</f>
        <v>96937886.94176626</v>
      </c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</row>
    <row r="71" spans="4:31" ht="15.75" thickBot="1">
      <c r="D71" s="280" t="s">
        <v>424</v>
      </c>
      <c r="E71" s="281"/>
      <c r="F71" s="281"/>
      <c r="G71" s="281"/>
      <c r="H71" s="281"/>
      <c r="I71" s="282"/>
      <c r="J71" s="227">
        <f>J69/J70</f>
        <v>0.48313400201459733</v>
      </c>
      <c r="K71" s="227">
        <f>K69/K70</f>
        <v>0.46178874296030886</v>
      </c>
      <c r="L71" s="225">
        <f>L69/L70</f>
        <v>0.4633197134994342</v>
      </c>
      <c r="M71" s="227">
        <f>M69/M70</f>
        <v>0.47651894724134275</v>
      </c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</row>
    <row r="72" spans="4:31" ht="15" customHeight="1">
      <c r="D72" s="275" t="s">
        <v>439</v>
      </c>
      <c r="E72" s="275"/>
      <c r="F72" s="275"/>
      <c r="G72" s="275"/>
      <c r="H72" s="275"/>
      <c r="I72" s="275"/>
      <c r="J72" s="226">
        <f>J70*0.486</f>
        <v>45067566.87179052</v>
      </c>
      <c r="K72" s="226">
        <f>K70*0.486</f>
        <v>45558417.230144836</v>
      </c>
      <c r="L72" s="226">
        <f>L70*0.486</f>
        <v>46587052.453535736</v>
      </c>
      <c r="M72" s="226">
        <f>M70*0.486</f>
        <v>47111813.053698406</v>
      </c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</row>
    <row r="73" spans="4:31" ht="15" customHeight="1">
      <c r="D73" s="276" t="s">
        <v>440</v>
      </c>
      <c r="E73" s="276"/>
      <c r="F73" s="276"/>
      <c r="G73" s="276"/>
      <c r="H73" s="276"/>
      <c r="I73" s="276"/>
      <c r="J73" s="223">
        <f>J70*0.513</f>
        <v>47571320.58689</v>
      </c>
      <c r="K73" s="223">
        <f>K70*0.513</f>
        <v>48089440.40959733</v>
      </c>
      <c r="L73" s="223">
        <f>L70*0.513</f>
        <v>49175222.03428773</v>
      </c>
      <c r="M73" s="223">
        <f>M70*0.513</f>
        <v>49729136.001126096</v>
      </c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</row>
  </sheetData>
  <sheetProtection/>
  <mergeCells count="36">
    <mergeCell ref="A1:E1"/>
    <mergeCell ref="F1:J1"/>
    <mergeCell ref="K1:M1"/>
    <mergeCell ref="B51:I51"/>
    <mergeCell ref="B54:I54"/>
    <mergeCell ref="B36:J36"/>
    <mergeCell ref="B38:J38"/>
    <mergeCell ref="G4:M4"/>
    <mergeCell ref="B33:J33"/>
    <mergeCell ref="B27:I29"/>
    <mergeCell ref="B7:J7"/>
    <mergeCell ref="B12:I12"/>
    <mergeCell ref="B57:J57"/>
    <mergeCell ref="D49:I49"/>
    <mergeCell ref="B40:I42"/>
    <mergeCell ref="B44:J44"/>
    <mergeCell ref="B46:I46"/>
    <mergeCell ref="B15:I15"/>
    <mergeCell ref="B17:J17"/>
    <mergeCell ref="C19:G19"/>
    <mergeCell ref="B22:I22"/>
    <mergeCell ref="B48:J48"/>
    <mergeCell ref="D59:M61"/>
    <mergeCell ref="D62:M62"/>
    <mergeCell ref="D64:I64"/>
    <mergeCell ref="D65:I65"/>
    <mergeCell ref="D72:I72"/>
    <mergeCell ref="D73:I73"/>
    <mergeCell ref="I5:L5"/>
    <mergeCell ref="H63:K63"/>
    <mergeCell ref="D66:I66"/>
    <mergeCell ref="D67:I67"/>
    <mergeCell ref="D68:I68"/>
    <mergeCell ref="D69:I69"/>
    <mergeCell ref="D70:I70"/>
    <mergeCell ref="D71:I71"/>
  </mergeCells>
  <printOptions/>
  <pageMargins left="0" right="0" top="0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0.421875" style="72" customWidth="1"/>
    <col min="2" max="3" width="15.7109375" style="72" bestFit="1" customWidth="1"/>
    <col min="4" max="4" width="15.7109375" style="84" bestFit="1" customWidth="1"/>
    <col min="5" max="5" width="15.7109375" style="72" bestFit="1" customWidth="1"/>
    <col min="6" max="16384" width="9.140625" style="72" customWidth="1"/>
  </cols>
  <sheetData>
    <row r="1" spans="1:5" s="71" customFormat="1" ht="12.75" customHeight="1">
      <c r="A1" s="294" t="str">
        <f>Parâmetros!A1</f>
        <v>Município de :  IVOTI</v>
      </c>
      <c r="B1" s="254"/>
      <c r="C1" s="254"/>
      <c r="D1" s="254"/>
      <c r="E1" s="254"/>
    </row>
    <row r="2" spans="1:5" s="71" customFormat="1" ht="12.75" customHeight="1">
      <c r="A2" s="294" t="s">
        <v>349</v>
      </c>
      <c r="B2" s="254"/>
      <c r="C2" s="254"/>
      <c r="D2" s="254"/>
      <c r="E2" s="254"/>
    </row>
    <row r="3" spans="1:5" ht="12.75" customHeight="1">
      <c r="A3" s="295" t="s">
        <v>407</v>
      </c>
      <c r="B3" s="296"/>
      <c r="C3" s="296"/>
      <c r="D3" s="296"/>
      <c r="E3" s="296"/>
    </row>
    <row r="4" spans="1:5" ht="12.75" customHeight="1">
      <c r="A4" s="88"/>
      <c r="B4" s="88"/>
      <c r="C4" s="88"/>
      <c r="D4" s="73"/>
      <c r="E4" s="89"/>
    </row>
    <row r="5" spans="1:5" ht="12.75" customHeight="1">
      <c r="A5" s="90" t="s">
        <v>351</v>
      </c>
      <c r="B5" s="297"/>
      <c r="C5" s="297"/>
      <c r="D5" s="297"/>
      <c r="E5" s="297"/>
    </row>
    <row r="6" spans="1:5" ht="12.75" customHeight="1">
      <c r="A6" s="109" t="s">
        <v>352</v>
      </c>
      <c r="B6" s="108">
        <f>Parâmetros!C10</f>
        <v>2022</v>
      </c>
      <c r="C6" s="96">
        <f>B6+1</f>
        <v>2023</v>
      </c>
      <c r="D6" s="96">
        <f>C6+1</f>
        <v>2024</v>
      </c>
      <c r="E6" s="96">
        <f>D6+1</f>
        <v>2025</v>
      </c>
    </row>
    <row r="7" spans="1:5" ht="12.75" customHeight="1">
      <c r="A7" s="110" t="s">
        <v>360</v>
      </c>
      <c r="B7" s="107">
        <f>Projeções!F10+Projeções!F11+Projeções!F12</f>
        <v>17260195.933636755</v>
      </c>
      <c r="C7" s="98">
        <f>Projeções!G10+Projeções!G11+Projeções!G12</f>
        <v>16523433.0668268</v>
      </c>
      <c r="D7" s="98">
        <f>Projeções!H10+Projeções!H11+Projeções!H12</f>
        <v>16815363.00060954</v>
      </c>
      <c r="E7" s="99">
        <f>Projeções!I10+Projeções!I11+Projeções!I12</f>
        <v>17372320.587035097</v>
      </c>
    </row>
    <row r="8" spans="1:5" ht="12.75" customHeight="1">
      <c r="A8" s="110" t="s">
        <v>361</v>
      </c>
      <c r="B8" s="107">
        <f>Projeções!F46+Projeções!F47+Projeções!F48+Projeções!F49+Projeções!F54</f>
        <v>23519723.21220266</v>
      </c>
      <c r="C8" s="98">
        <f>Projeções!G46+Projeções!G47+Projeções!G48+Projeções!G49+Projeções!G54</f>
        <v>23925602.645941082</v>
      </c>
      <c r="D8" s="98">
        <f>Projeções!H46+Projeções!H47+Projeções!H48+Projeções!H49+Projeções!H54</f>
        <v>25319741.645861138</v>
      </c>
      <c r="E8" s="99">
        <f>Projeções!I46+Projeções!I47+Projeções!I48+Projeções!I49+Projeções!I54</f>
        <v>24982673.17637501</v>
      </c>
    </row>
    <row r="9" spans="1:5" ht="12.75" customHeight="1">
      <c r="A9" s="110" t="s">
        <v>362</v>
      </c>
      <c r="B9" s="107">
        <f>Projeções!F61+Projeções!F62+Projeções!F63</f>
        <v>21809263.78464</v>
      </c>
      <c r="C9" s="98">
        <f>Projeções!G61+Projeções!G62+Projeções!G63</f>
        <v>22019956.55642206</v>
      </c>
      <c r="D9" s="98">
        <f>Projeções!H61+Projeções!H62+Projeções!H63</f>
        <v>22677733.750715524</v>
      </c>
      <c r="E9" s="99">
        <f>Projeções!I61+Projeções!I62+Projeções!I63</f>
        <v>22834054.23817697</v>
      </c>
    </row>
    <row r="10" spans="1:5" ht="12.75" customHeight="1">
      <c r="A10" s="114" t="s">
        <v>368</v>
      </c>
      <c r="B10" s="93">
        <f>B7+B8+B9</f>
        <v>62589182.930479415</v>
      </c>
      <c r="C10" s="95">
        <f>C7+C8+C9</f>
        <v>62468992.26918994</v>
      </c>
      <c r="D10" s="95">
        <f>D7+D8+D9</f>
        <v>64812838.397186205</v>
      </c>
      <c r="E10" s="94">
        <f>E7+E8+E9</f>
        <v>65189048.00158708</v>
      </c>
    </row>
    <row r="11" spans="1:5" ht="12.75" customHeight="1">
      <c r="A11" s="111"/>
      <c r="B11" s="93"/>
      <c r="C11" s="95"/>
      <c r="D11" s="95"/>
      <c r="E11" s="94"/>
    </row>
    <row r="12" spans="1:5" ht="12.75" customHeight="1">
      <c r="A12" s="79" t="s">
        <v>370</v>
      </c>
      <c r="B12" s="97">
        <f>B10*25%</f>
        <v>15647295.732619854</v>
      </c>
      <c r="C12" s="97">
        <f>C10*25%</f>
        <v>15617248.067297485</v>
      </c>
      <c r="D12" s="97">
        <f>D10*25%</f>
        <v>16203209.599296551</v>
      </c>
      <c r="E12" s="97">
        <f>E10*25%</f>
        <v>16297262.00039677</v>
      </c>
    </row>
    <row r="13" spans="1:5" ht="12.75" customHeight="1">
      <c r="A13" s="112"/>
      <c r="B13" s="93"/>
      <c r="C13" s="95"/>
      <c r="D13" s="95"/>
      <c r="E13" s="94"/>
    </row>
    <row r="14" spans="1:5" ht="12.75" customHeight="1">
      <c r="A14" s="110" t="s">
        <v>363</v>
      </c>
      <c r="B14" s="92">
        <f>Projeções!F76</f>
        <v>19613193.894272</v>
      </c>
      <c r="C14" s="100">
        <f>Projeções!G76</f>
        <v>20235548.94446535</v>
      </c>
      <c r="D14" s="100">
        <f>Projeções!H76</f>
        <v>21271640.867665436</v>
      </c>
      <c r="E14" s="101">
        <f>Projeções!I76</f>
        <v>20984665.072531626</v>
      </c>
    </row>
    <row r="15" spans="1:5" ht="12.75" customHeight="1">
      <c r="A15" s="110" t="s">
        <v>379</v>
      </c>
      <c r="B15" s="92">
        <f>Projeções!F129</f>
        <v>-8710519.892138666</v>
      </c>
      <c r="C15" s="100">
        <f>Projeções!G129</f>
        <v>-8833435.927079465</v>
      </c>
      <c r="D15" s="100">
        <f>Projeções!H129</f>
        <v>-9234189.63932424</v>
      </c>
      <c r="E15" s="101">
        <f>Projeções!I129</f>
        <v>-9193829.940766213</v>
      </c>
    </row>
    <row r="16" spans="1:5" ht="12.75" customHeight="1">
      <c r="A16" s="113" t="s">
        <v>364</v>
      </c>
      <c r="B16" s="93">
        <f>B14+B15</f>
        <v>10902674.002133334</v>
      </c>
      <c r="C16" s="95">
        <f>C14+C15</f>
        <v>11402113.017385885</v>
      </c>
      <c r="D16" s="95">
        <f>D14+D15</f>
        <v>12037451.228341196</v>
      </c>
      <c r="E16" s="94">
        <f>E14+E15</f>
        <v>11790835.131765412</v>
      </c>
    </row>
    <row r="17" spans="1:5" ht="12.75" customHeight="1">
      <c r="A17" s="91"/>
      <c r="B17" s="104"/>
      <c r="C17" s="104"/>
      <c r="D17" s="104"/>
      <c r="E17" s="103"/>
    </row>
    <row r="18" spans="1:6" ht="12.75" customHeight="1">
      <c r="A18" s="102" t="s">
        <v>378</v>
      </c>
      <c r="B18" s="100">
        <f>Projeções!F26</f>
        <v>36688.686912</v>
      </c>
      <c r="C18" s="100">
        <f>Projeções!G26</f>
        <v>30756.378915140267</v>
      </c>
      <c r="D18" s="100">
        <f>Projeções!H26</f>
        <v>33021.09348884077</v>
      </c>
      <c r="E18" s="101">
        <f>Projeções!I26</f>
        <v>34493.38136515349</v>
      </c>
      <c r="F18" s="83"/>
    </row>
    <row r="19" spans="1:5" ht="12.75" customHeight="1">
      <c r="A19" s="102" t="s">
        <v>356</v>
      </c>
      <c r="B19" s="100">
        <f>Projeções!F53</f>
        <v>1867934.0290133331</v>
      </c>
      <c r="C19" s="100">
        <f>Projeções!G53</f>
        <v>1876814.5609651483</v>
      </c>
      <c r="D19" s="100">
        <f>Projeções!H53</f>
        <v>1881059.6397175938</v>
      </c>
      <c r="E19" s="101">
        <f>Projeções!I53</f>
        <v>1931527.4921956526</v>
      </c>
    </row>
    <row r="20" spans="1:5" ht="12.75" customHeight="1">
      <c r="A20" s="102" t="s">
        <v>353</v>
      </c>
      <c r="B20" s="100">
        <f>Projeções!F56+Projeções!F70</f>
        <v>127826.24264533335</v>
      </c>
      <c r="C20" s="100">
        <f>Projeções!G56+Projeções!G70</f>
        <v>78566.77790763804</v>
      </c>
      <c r="D20" s="100">
        <f>Projeções!H56+Projeções!H70</f>
        <v>95813.59790698098</v>
      </c>
      <c r="E20" s="101">
        <f>Projeções!I56+Projeções!I70</f>
        <v>103757.60567125032</v>
      </c>
    </row>
    <row r="21" spans="1:5" ht="12.75" customHeight="1">
      <c r="A21" s="102" t="s">
        <v>354</v>
      </c>
      <c r="B21" s="100">
        <f>Projeções!F104+Projeções!F110</f>
        <v>235952.38</v>
      </c>
      <c r="C21" s="100">
        <f>Projeções!G104+Projeções!G110</f>
        <v>232936.50666666668</v>
      </c>
      <c r="D21" s="100">
        <f>Projeções!H104+Projeções!H110</f>
        <v>236296.29555555558</v>
      </c>
      <c r="E21" s="101">
        <f>Projeções!I104+Projeções!I110</f>
        <v>235061.72740740745</v>
      </c>
    </row>
    <row r="22" spans="1:5" ht="12.75" customHeight="1">
      <c r="A22" s="102" t="s">
        <v>355</v>
      </c>
      <c r="B22" s="100">
        <f>Projeções!F102+Projeções!F108</f>
        <v>0</v>
      </c>
      <c r="C22" s="100">
        <f>Projeções!G102+Projeções!G108</f>
        <v>0</v>
      </c>
      <c r="D22" s="100">
        <f>Projeções!H102+Projeções!H108</f>
        <v>0</v>
      </c>
      <c r="E22" s="101">
        <f>Projeções!I102+Projeções!I108</f>
        <v>0</v>
      </c>
    </row>
    <row r="23" spans="1:5" ht="12.75" customHeight="1">
      <c r="A23" s="91"/>
      <c r="B23" s="100"/>
      <c r="C23" s="100"/>
      <c r="D23" s="100"/>
      <c r="E23" s="101"/>
    </row>
    <row r="24" spans="1:5" ht="12.75" customHeight="1">
      <c r="A24" s="105" t="s">
        <v>357</v>
      </c>
      <c r="B24" s="106">
        <f>B12+B14+B18+B19+B20+B21+B22+B15</f>
        <v>28818371.073323853</v>
      </c>
      <c r="C24" s="106">
        <f>C12+C14+C18+C19+C20+C21+C22+C15</f>
        <v>29238435.309137966</v>
      </c>
      <c r="D24" s="106">
        <f>D12+D14+D18+D19+D20+D21+D22+D15</f>
        <v>30486851.45430672</v>
      </c>
      <c r="E24" s="106">
        <f>E12+E14+E18+E19+E20+E21+E22+E15</f>
        <v>30392937.338801645</v>
      </c>
    </row>
    <row r="25" spans="1:5" ht="12.75" customHeight="1">
      <c r="A25" s="91"/>
      <c r="B25" s="92"/>
      <c r="C25" s="92"/>
      <c r="D25" s="92"/>
      <c r="E25" s="92"/>
    </row>
    <row r="26" spans="1:5" ht="12.75" customHeight="1">
      <c r="A26" s="74" t="s">
        <v>358</v>
      </c>
      <c r="B26" s="78">
        <f>B6</f>
        <v>2022</v>
      </c>
      <c r="C26" s="78">
        <f>B26+1</f>
        <v>2023</v>
      </c>
      <c r="D26" s="78">
        <f>C26+1</f>
        <v>2024</v>
      </c>
      <c r="E26" s="78">
        <f>D26+1</f>
        <v>2025</v>
      </c>
    </row>
    <row r="27" spans="1:5" ht="12.75" customHeight="1">
      <c r="A27" s="85"/>
      <c r="B27" s="86"/>
      <c r="C27" s="86"/>
      <c r="D27" s="86"/>
      <c r="E27" s="86"/>
    </row>
    <row r="28" spans="1:5" ht="12.75" customHeight="1">
      <c r="A28" s="80" t="str">
        <f>Projeções!B147</f>
        <v>Pessoal e Encargos Sociais - Educação</v>
      </c>
      <c r="B28" s="87">
        <f>Projeções!F147</f>
        <v>23177594.737841398</v>
      </c>
      <c r="C28" s="87">
        <f>Projeções!G147</f>
        <v>22339896.343057703</v>
      </c>
      <c r="D28" s="87">
        <f>Projeções!H147</f>
        <v>22893122.269197166</v>
      </c>
      <c r="E28" s="87">
        <f>Projeções!I147</f>
        <v>23845830.4865986</v>
      </c>
    </row>
    <row r="29" spans="1:5" ht="12.75" customHeight="1">
      <c r="A29" s="80" t="str">
        <f>Projeções!B154</f>
        <v>Juros e Encargos da Dívida - Educação</v>
      </c>
      <c r="B29" s="75">
        <f>Projeções!F154</f>
        <v>0</v>
      </c>
      <c r="C29" s="75">
        <f>Projeções!G154</f>
        <v>0</v>
      </c>
      <c r="D29" s="75">
        <f>Projeções!H154</f>
        <v>0</v>
      </c>
      <c r="E29" s="75">
        <f>Projeções!I154</f>
        <v>0</v>
      </c>
    </row>
    <row r="30" spans="1:5" ht="12.75" customHeight="1">
      <c r="A30" s="80" t="str">
        <f>Projeções!B161</f>
        <v>Outros Benef.Assistênciais - Educação</v>
      </c>
      <c r="B30" s="75">
        <f>Projeções!F161</f>
        <v>0</v>
      </c>
      <c r="C30" s="75">
        <f>Projeções!G161</f>
        <v>0</v>
      </c>
      <c r="D30" s="75">
        <f>Projeções!H161</f>
        <v>0</v>
      </c>
      <c r="E30" s="75">
        <f>Projeções!I161</f>
        <v>0</v>
      </c>
    </row>
    <row r="31" spans="1:5" ht="12.75" customHeight="1">
      <c r="A31" s="80" t="str">
        <f>Projeções!B168</f>
        <v>Auxílio - Alimentação - Educação</v>
      </c>
      <c r="B31" s="75">
        <f>Projeções!F168</f>
        <v>1491064.4004479998</v>
      </c>
      <c r="C31" s="75">
        <f>Projeções!G168</f>
        <v>1493789.4375150676</v>
      </c>
      <c r="D31" s="75">
        <f>Projeções!H168</f>
        <v>1521510.5292322892</v>
      </c>
      <c r="E31" s="75">
        <f>Projeções!I168</f>
        <v>1547185.0994037392</v>
      </c>
    </row>
    <row r="32" spans="1:5" ht="12.75" customHeight="1">
      <c r="A32" s="80" t="str">
        <f>Projeções!B175</f>
        <v>Obrigações Tributárias e Contributivas - Educação</v>
      </c>
      <c r="B32" s="75">
        <f>Projeções!F175</f>
        <v>3831.1594933333336</v>
      </c>
      <c r="C32" s="75">
        <f>Projeções!G175</f>
        <v>3947.9941672888895</v>
      </c>
      <c r="D32" s="75">
        <f>Projeções!H175</f>
        <v>4627.842756813629</v>
      </c>
      <c r="E32" s="75">
        <f>Projeções!I175</f>
        <v>4259.735436652976</v>
      </c>
    </row>
    <row r="33" spans="1:5" ht="12.75" customHeight="1">
      <c r="A33" s="80" t="str">
        <f>Projeções!B182</f>
        <v>Sentenças Judiciais - Educação</v>
      </c>
      <c r="B33" s="75">
        <f>Projeções!F182</f>
        <v>0</v>
      </c>
      <c r="C33" s="75">
        <f>Projeções!G182</f>
        <v>0</v>
      </c>
      <c r="D33" s="75">
        <f>Projeções!H182</f>
        <v>0</v>
      </c>
      <c r="E33" s="75">
        <f>Projeções!I182</f>
        <v>0</v>
      </c>
    </row>
    <row r="34" spans="1:5" ht="12.75" customHeight="1">
      <c r="A34" s="80" t="str">
        <f>Projeções!B189</f>
        <v>Indenizações e Restituições - Educação</v>
      </c>
      <c r="B34" s="75">
        <f>Projeções!F189+Projeções!F196</f>
        <v>9776.473696000001</v>
      </c>
      <c r="C34" s="75">
        <f>Projeções!G189+Projeções!G196</f>
        <v>3364.736363706667</v>
      </c>
      <c r="D34" s="75">
        <f>Projeções!H189+Projeções!H196</f>
        <v>4511.815453832623</v>
      </c>
      <c r="E34" s="75">
        <f>Projeções!I189+Projeções!I196</f>
        <v>6060.872092981824</v>
      </c>
    </row>
    <row r="35" spans="1:5" ht="12.75" customHeight="1">
      <c r="A35" s="80" t="str">
        <f>Projeções!B203</f>
        <v>Amortização da Dívida - Educação</v>
      </c>
      <c r="B35" s="75">
        <f>Projeções!F203</f>
        <v>0</v>
      </c>
      <c r="C35" s="75">
        <f>Projeções!G203</f>
        <v>0</v>
      </c>
      <c r="D35" s="75">
        <f>Projeções!H203</f>
        <v>0</v>
      </c>
      <c r="E35" s="75">
        <f>Projeções!I203</f>
        <v>0</v>
      </c>
    </row>
    <row r="36" spans="1:5" ht="12.75" customHeight="1">
      <c r="A36" s="81" t="s">
        <v>350</v>
      </c>
      <c r="B36" s="76">
        <f>SUM(B28:B35)</f>
        <v>24682266.77147873</v>
      </c>
      <c r="C36" s="76">
        <f>SUM(C28:C35)</f>
        <v>23840998.511103768</v>
      </c>
      <c r="D36" s="76">
        <f>SUM(D28:D35)</f>
        <v>24423772.456640102</v>
      </c>
      <c r="E36" s="76">
        <f>SUM(E28:E35)</f>
        <v>25403336.19353197</v>
      </c>
    </row>
    <row r="37" spans="1:5" ht="12.75" customHeight="1">
      <c r="A37" s="82" t="s">
        <v>359</v>
      </c>
      <c r="B37" s="77">
        <f>B24-B36</f>
        <v>4136104.301845122</v>
      </c>
      <c r="C37" s="77">
        <f>C24-C36</f>
        <v>5397436.798034199</v>
      </c>
      <c r="D37" s="77">
        <f>D24-D36</f>
        <v>6063078.99766662</v>
      </c>
      <c r="E37" s="77">
        <f>E24-E36</f>
        <v>4989601.145269673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4">
    <mergeCell ref="A1:E1"/>
    <mergeCell ref="A2:E2"/>
    <mergeCell ref="A3:E3"/>
    <mergeCell ref="B5:E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80.421875" style="72" customWidth="1"/>
    <col min="2" max="3" width="15.7109375" style="72" bestFit="1" customWidth="1"/>
    <col min="4" max="4" width="15.7109375" style="84" bestFit="1" customWidth="1"/>
    <col min="5" max="5" width="15.7109375" style="72" bestFit="1" customWidth="1"/>
    <col min="6" max="16384" width="9.140625" style="72" customWidth="1"/>
  </cols>
  <sheetData>
    <row r="1" spans="1:5" s="71" customFormat="1" ht="12.75" customHeight="1">
      <c r="A1" s="294" t="str">
        <f>Parâmetros!A1</f>
        <v>Município de :  IVOTI</v>
      </c>
      <c r="B1" s="254"/>
      <c r="C1" s="254"/>
      <c r="D1" s="254"/>
      <c r="E1" s="254"/>
    </row>
    <row r="2" spans="1:5" s="71" customFormat="1" ht="12.75" customHeight="1">
      <c r="A2" s="294" t="s">
        <v>349</v>
      </c>
      <c r="B2" s="254"/>
      <c r="C2" s="254"/>
      <c r="D2" s="254"/>
      <c r="E2" s="254"/>
    </row>
    <row r="3" spans="1:5" ht="12.75" customHeight="1">
      <c r="A3" s="295" t="s">
        <v>410</v>
      </c>
      <c r="B3" s="296"/>
      <c r="C3" s="296"/>
      <c r="D3" s="296"/>
      <c r="E3" s="296"/>
    </row>
    <row r="4" spans="1:5" ht="12.75" customHeight="1">
      <c r="A4" s="88"/>
      <c r="B4" s="88"/>
      <c r="C4" s="88"/>
      <c r="D4" s="73"/>
      <c r="E4" s="89"/>
    </row>
    <row r="5" spans="1:5" ht="12.75" customHeight="1">
      <c r="A5" s="90" t="s">
        <v>351</v>
      </c>
      <c r="B5" s="297"/>
      <c r="C5" s="297"/>
      <c r="D5" s="297"/>
      <c r="E5" s="297"/>
    </row>
    <row r="6" spans="1:5" ht="12.75" customHeight="1">
      <c r="A6" s="109" t="s">
        <v>352</v>
      </c>
      <c r="B6" s="108">
        <f>Parâmetros!C10</f>
        <v>2022</v>
      </c>
      <c r="C6" s="96">
        <f>B6+1</f>
        <v>2023</v>
      </c>
      <c r="D6" s="96">
        <f>C6+1</f>
        <v>2024</v>
      </c>
      <c r="E6" s="96">
        <f>D6+1</f>
        <v>2025</v>
      </c>
    </row>
    <row r="7" spans="1:5" ht="12.75" customHeight="1">
      <c r="A7" s="110" t="s">
        <v>360</v>
      </c>
      <c r="B7" s="107">
        <f>Projeções!F10+Projeções!F11+Projeções!F12</f>
        <v>17260195.933636755</v>
      </c>
      <c r="C7" s="98">
        <f>Projeções!G10+Projeções!G11+Projeções!G12</f>
        <v>16523433.0668268</v>
      </c>
      <c r="D7" s="98">
        <f>Projeções!H10+Projeções!H11+Projeções!H12</f>
        <v>16815363.00060954</v>
      </c>
      <c r="E7" s="99">
        <f>Projeções!I10+Projeções!I11+Projeções!I12</f>
        <v>17372320.587035097</v>
      </c>
    </row>
    <row r="8" spans="1:5" ht="12.75" customHeight="1">
      <c r="A8" s="110" t="s">
        <v>361</v>
      </c>
      <c r="B8" s="107">
        <f>Projeções!F46+Projeções!F47+Projeções!F48+Projeções!F49+Projeções!F54</f>
        <v>23519723.21220266</v>
      </c>
      <c r="C8" s="98">
        <f>Projeções!G46+Projeções!G47+Projeções!G48+Projeções!G49+Projeções!G54</f>
        <v>23925602.645941082</v>
      </c>
      <c r="D8" s="98">
        <f>Projeções!H46+Projeções!H47+Projeções!H48+Projeções!H49+Projeções!H54</f>
        <v>25319741.645861138</v>
      </c>
      <c r="E8" s="99">
        <f>Projeções!I46+Projeções!I47+Projeções!I48+Projeções!I49+Projeções!I54</f>
        <v>24982673.17637501</v>
      </c>
    </row>
    <row r="9" spans="1:5" ht="12.75" customHeight="1">
      <c r="A9" s="110" t="s">
        <v>362</v>
      </c>
      <c r="B9" s="107">
        <f>Projeções!F61+Projeções!F62+Projeções!F63</f>
        <v>21809263.78464</v>
      </c>
      <c r="C9" s="98">
        <f>Projeções!G61+Projeções!G62+Projeções!G63</f>
        <v>22019956.55642206</v>
      </c>
      <c r="D9" s="98">
        <f>Projeções!H61+Projeções!H62+Projeções!H63</f>
        <v>22677733.750715524</v>
      </c>
      <c r="E9" s="99">
        <f>Projeções!I61+Projeções!I62+Projeções!I63</f>
        <v>22834054.23817697</v>
      </c>
    </row>
    <row r="10" spans="1:5" ht="12.75" customHeight="1">
      <c r="A10" s="114" t="s">
        <v>367</v>
      </c>
      <c r="B10" s="93">
        <f>B7+B8+B9</f>
        <v>62589182.930479415</v>
      </c>
      <c r="C10" s="95">
        <f>C7+C8+C9</f>
        <v>62468992.26918994</v>
      </c>
      <c r="D10" s="95">
        <f>D7+D8+D9</f>
        <v>64812838.397186205</v>
      </c>
      <c r="E10" s="94">
        <f>E7+E8+E9</f>
        <v>65189048.00158708</v>
      </c>
    </row>
    <row r="11" spans="1:5" ht="12.75" customHeight="1">
      <c r="A11" s="111"/>
      <c r="B11" s="93"/>
      <c r="C11" s="95"/>
      <c r="D11" s="95"/>
      <c r="E11" s="94"/>
    </row>
    <row r="12" spans="1:5" ht="12.75" customHeight="1">
      <c r="A12" s="79" t="s">
        <v>369</v>
      </c>
      <c r="B12" s="97">
        <f>B10*15%</f>
        <v>9388377.439571911</v>
      </c>
      <c r="C12" s="97">
        <f>C10*15%</f>
        <v>9370348.840378491</v>
      </c>
      <c r="D12" s="97">
        <f>D10*15%</f>
        <v>9721925.75957793</v>
      </c>
      <c r="E12" s="97">
        <f>E10*15%</f>
        <v>9778357.200238062</v>
      </c>
    </row>
    <row r="13" spans="1:5" ht="12.75" customHeight="1">
      <c r="A13" s="112"/>
      <c r="B13" s="93"/>
      <c r="C13" s="95"/>
      <c r="D13" s="95"/>
      <c r="E13" s="115"/>
    </row>
    <row r="14" spans="1:6" ht="12.75" customHeight="1">
      <c r="A14" s="102" t="s">
        <v>381</v>
      </c>
      <c r="B14" s="100">
        <f>Projeções!F27</f>
        <v>21015.087616</v>
      </c>
      <c r="C14" s="100">
        <f>Projeções!G27</f>
        <v>18335.965996151466</v>
      </c>
      <c r="D14" s="100">
        <f>Projeções!H27</f>
        <v>19566.23761818213</v>
      </c>
      <c r="E14" s="101">
        <f>Projeções!I27</f>
        <v>20228.269989081204</v>
      </c>
      <c r="F14" s="83"/>
    </row>
    <row r="15" spans="1:5" ht="12.75" customHeight="1">
      <c r="A15" s="102" t="s">
        <v>371</v>
      </c>
      <c r="B15" s="100">
        <f>Projeções!F51</f>
        <v>1772981.0354133332</v>
      </c>
      <c r="C15" s="100">
        <f>Projeções!G51</f>
        <v>1914374.010380402</v>
      </c>
      <c r="D15" s="100">
        <f>Projeções!H51</f>
        <v>1599120.5282606771</v>
      </c>
      <c r="E15" s="101">
        <f>Projeções!I51</f>
        <v>1815023.2804253483</v>
      </c>
    </row>
    <row r="16" spans="1:5" ht="12.75" customHeight="1">
      <c r="A16" s="102" t="s">
        <v>374</v>
      </c>
      <c r="B16" s="100">
        <f>Projeções!F67</f>
        <v>372767.35684266663</v>
      </c>
      <c r="C16" s="100">
        <f>Projeções!G67</f>
        <v>416137.9681871417</v>
      </c>
      <c r="D16" s="100">
        <f>Projeções!H67</f>
        <v>366160.7493644257</v>
      </c>
      <c r="E16" s="101">
        <f>Projeções!I67</f>
        <v>396572.68554202036</v>
      </c>
    </row>
    <row r="17" spans="1:5" ht="12.75" customHeight="1">
      <c r="A17" s="102" t="s">
        <v>353</v>
      </c>
      <c r="B17" s="100">
        <f>Projeções!F55+Projeções!F69</f>
        <v>0</v>
      </c>
      <c r="C17" s="100">
        <f>Projeções!G55+Projeções!G69</f>
        <v>0</v>
      </c>
      <c r="D17" s="100">
        <f>Projeções!H55+Projeções!H69</f>
        <v>0</v>
      </c>
      <c r="E17" s="101">
        <f>Projeções!I55+Projeções!I69</f>
        <v>0</v>
      </c>
    </row>
    <row r="18" spans="1:5" ht="12.75" customHeight="1">
      <c r="A18" s="102" t="s">
        <v>354</v>
      </c>
      <c r="B18" s="100">
        <f>Projeções!F103+Projeções!F109</f>
        <v>0</v>
      </c>
      <c r="C18" s="100">
        <f>Projeções!G103+Projeções!G109</f>
        <v>0</v>
      </c>
      <c r="D18" s="100">
        <f>Projeções!H103+Projeções!H109</f>
        <v>0</v>
      </c>
      <c r="E18" s="101">
        <f>Projeções!I103+Projeções!I109</f>
        <v>0</v>
      </c>
    </row>
    <row r="19" spans="1:5" ht="12.75" customHeight="1">
      <c r="A19" s="102" t="s">
        <v>373</v>
      </c>
      <c r="B19" s="100">
        <f>Projeções!F101+Projeções!F107</f>
        <v>0</v>
      </c>
      <c r="C19" s="100">
        <f>Projeções!G101+Projeções!G107</f>
        <v>0</v>
      </c>
      <c r="D19" s="100">
        <f>Projeções!H101+Projeções!H107</f>
        <v>0</v>
      </c>
      <c r="E19" s="101">
        <f>Projeções!I101+Projeções!I107</f>
        <v>0</v>
      </c>
    </row>
    <row r="20" spans="1:5" ht="12.75" customHeight="1">
      <c r="A20" s="91"/>
      <c r="B20" s="100"/>
      <c r="C20" s="100"/>
      <c r="D20" s="100"/>
      <c r="E20" s="116"/>
    </row>
    <row r="21" spans="1:5" ht="12.75" customHeight="1">
      <c r="A21" s="105" t="s">
        <v>372</v>
      </c>
      <c r="B21" s="106">
        <f>B12+B14+B15+B16+B17+B18+B19</f>
        <v>11555140.919443913</v>
      </c>
      <c r="C21" s="106">
        <f>C12+C14+C15+C16+C17+C18+C19</f>
        <v>11719196.784942187</v>
      </c>
      <c r="D21" s="106">
        <f>D12+D14+D15+D16+D17+D18+D19</f>
        <v>11706773.274821216</v>
      </c>
      <c r="E21" s="106">
        <f>E12+E14+E15+E16+E17+E18+E19</f>
        <v>12010181.436194513</v>
      </c>
    </row>
    <row r="22" spans="1:5" ht="12.75" customHeight="1">
      <c r="A22" s="91"/>
      <c r="B22" s="92"/>
      <c r="C22" s="92"/>
      <c r="D22" s="92"/>
      <c r="E22" s="92"/>
    </row>
    <row r="23" spans="1:5" ht="12.75" customHeight="1">
      <c r="A23" s="74" t="s">
        <v>358</v>
      </c>
      <c r="B23" s="78">
        <f>B6</f>
        <v>2022</v>
      </c>
      <c r="C23" s="78">
        <f>B23+1</f>
        <v>2023</v>
      </c>
      <c r="D23" s="78">
        <f>C23+1</f>
        <v>2024</v>
      </c>
      <c r="E23" s="78">
        <f>D23+1</f>
        <v>2025</v>
      </c>
    </row>
    <row r="24" spans="1:5" ht="12.75" customHeight="1">
      <c r="A24" s="85"/>
      <c r="B24" s="86"/>
      <c r="C24" s="86"/>
      <c r="D24" s="86"/>
      <c r="E24" s="86"/>
    </row>
    <row r="25" spans="1:5" ht="12.75" customHeight="1">
      <c r="A25" s="80" t="str">
        <f>Projeções!B146</f>
        <v>Pessoal e Encargos Sociais - Saúde</v>
      </c>
      <c r="B25" s="87">
        <f>Projeções!F146</f>
        <v>5669392.146261408</v>
      </c>
      <c r="C25" s="87">
        <f>Projeções!G146</f>
        <v>5578930.866190098</v>
      </c>
      <c r="D25" s="87">
        <f>Projeções!H146</f>
        <v>5659556.053317203</v>
      </c>
      <c r="E25" s="87">
        <f>Projeções!I146</f>
        <v>5893565.3160557775</v>
      </c>
    </row>
    <row r="26" spans="1:5" ht="12.75" customHeight="1">
      <c r="A26" s="80" t="str">
        <f>Projeções!B153</f>
        <v>Juros e Encargos da Dívida - Saúde</v>
      </c>
      <c r="B26" s="75">
        <f>Projeções!F153</f>
        <v>0</v>
      </c>
      <c r="C26" s="75">
        <f>Projeções!G153</f>
        <v>0</v>
      </c>
      <c r="D26" s="75">
        <f>Projeções!H153</f>
        <v>0</v>
      </c>
      <c r="E26" s="75">
        <f>Projeções!I153</f>
        <v>0</v>
      </c>
    </row>
    <row r="27" spans="1:5" ht="12.75" customHeight="1">
      <c r="A27" s="80" t="str">
        <f>Projeções!B160</f>
        <v>Outros Benef.Assistênciais - Saúde</v>
      </c>
      <c r="B27" s="75">
        <f>Projeções!F160</f>
        <v>0</v>
      </c>
      <c r="C27" s="75">
        <f>Projeções!G160</f>
        <v>0</v>
      </c>
      <c r="D27" s="75">
        <f>Projeções!H160</f>
        <v>0</v>
      </c>
      <c r="E27" s="75">
        <f>Projeções!I160</f>
        <v>0</v>
      </c>
    </row>
    <row r="28" spans="1:5" ht="12.75" customHeight="1">
      <c r="A28" s="80" t="str">
        <f>Projeções!B167</f>
        <v>Auxílio - Alimentação - Saúde</v>
      </c>
      <c r="B28" s="75">
        <f>Projeções!F167</f>
        <v>331338.1393493333</v>
      </c>
      <c r="C28" s="75">
        <f>Projeções!G167</f>
        <v>339077.1143561159</v>
      </c>
      <c r="D28" s="75">
        <f>Projeções!H167</f>
        <v>343621.24981695873</v>
      </c>
      <c r="E28" s="75">
        <f>Projeções!I167</f>
        <v>348152.5328760267</v>
      </c>
    </row>
    <row r="29" spans="1:5" ht="12.75" customHeight="1">
      <c r="A29" s="80" t="str">
        <f>Projeções!B174</f>
        <v>Obrigações Tributárias e Contributivas - Saúde</v>
      </c>
      <c r="B29" s="75">
        <f>Projeções!F174</f>
        <v>1778.4815253333334</v>
      </c>
      <c r="C29" s="75">
        <f>Projeções!G174</f>
        <v>1430.4638833022223</v>
      </c>
      <c r="D29" s="75">
        <f>Projeções!H174</f>
        <v>1445.0712569648742</v>
      </c>
      <c r="E29" s="75">
        <f>Projeções!I174</f>
        <v>1597.8790551894808</v>
      </c>
    </row>
    <row r="30" spans="1:5" ht="12.75" customHeight="1">
      <c r="A30" s="80" t="str">
        <f>Projeções!B181</f>
        <v>Sentenças Judiciais - Saúde</v>
      </c>
      <c r="B30" s="75">
        <f>Projeções!F181</f>
        <v>0</v>
      </c>
      <c r="C30" s="75">
        <f>Projeções!G181</f>
        <v>0</v>
      </c>
      <c r="D30" s="75">
        <f>Projeções!H181</f>
        <v>0</v>
      </c>
      <c r="E30" s="75">
        <f>Projeções!I181</f>
        <v>0</v>
      </c>
    </row>
    <row r="31" spans="1:5" ht="12.75" customHeight="1">
      <c r="A31" s="80" t="str">
        <f>Projeções!B188</f>
        <v>Indenizações e Restituições - Saúde</v>
      </c>
      <c r="B31" s="75">
        <f>Projeções!F188+Projeções!F195</f>
        <v>65397.01285333333</v>
      </c>
      <c r="C31" s="75">
        <f>Projeções!G188+Projeções!G195</f>
        <v>65549.36825702222</v>
      </c>
      <c r="D31" s="75">
        <f>Projeções!H188+Projeções!H195</f>
        <v>66931.59084788874</v>
      </c>
      <c r="E31" s="75">
        <f>Projeções!I188+Projeções!I195</f>
        <v>67938.10370566386</v>
      </c>
    </row>
    <row r="32" spans="1:5" ht="12.75" customHeight="1">
      <c r="A32" s="80" t="str">
        <f>Projeções!B202</f>
        <v>Amortização da Dívida - Saúde</v>
      </c>
      <c r="B32" s="75">
        <f>Projeções!F202</f>
        <v>0</v>
      </c>
      <c r="C32" s="75">
        <f>Projeções!G202</f>
        <v>0</v>
      </c>
      <c r="D32" s="75">
        <f>Projeções!H202</f>
        <v>0</v>
      </c>
      <c r="E32" s="75">
        <f>Projeções!I202</f>
        <v>0</v>
      </c>
    </row>
    <row r="33" spans="1:5" ht="12.75" customHeight="1">
      <c r="A33" s="81" t="s">
        <v>350</v>
      </c>
      <c r="B33" s="76">
        <f>SUM(B25:B32)</f>
        <v>6067905.779989408</v>
      </c>
      <c r="C33" s="76">
        <f>SUM(C25:C32)</f>
        <v>5984987.812686538</v>
      </c>
      <c r="D33" s="76">
        <f>SUM(D25:D32)</f>
        <v>6071553.965239015</v>
      </c>
      <c r="E33" s="76">
        <f>SUM(E25:E32)</f>
        <v>6311253.831692658</v>
      </c>
    </row>
    <row r="34" spans="1:5" ht="12.75" customHeight="1">
      <c r="A34" s="82" t="s">
        <v>375</v>
      </c>
      <c r="B34" s="77">
        <f>B21-B33</f>
        <v>5487235.1394545045</v>
      </c>
      <c r="C34" s="77">
        <f>C21-C33</f>
        <v>5734208.972255649</v>
      </c>
      <c r="D34" s="77">
        <f>D21-D33</f>
        <v>5635219.309582201</v>
      </c>
      <c r="E34" s="77">
        <f>E21-E33</f>
        <v>5698927.604501855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4">
    <mergeCell ref="A1:E1"/>
    <mergeCell ref="A2:E2"/>
    <mergeCell ref="A3:E3"/>
    <mergeCell ref="B5:E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2.28125" style="72" customWidth="1"/>
    <col min="2" max="3" width="13.7109375" style="72" customWidth="1"/>
    <col min="4" max="4" width="13.7109375" style="84" customWidth="1"/>
    <col min="5" max="5" width="13.7109375" style="72" customWidth="1"/>
    <col min="6" max="16384" width="9.140625" style="72" customWidth="1"/>
  </cols>
  <sheetData>
    <row r="1" spans="1:5" s="71" customFormat="1" ht="12.75" customHeight="1">
      <c r="A1" s="294" t="str">
        <f>Parâmetros!A1</f>
        <v>Município de :  IVOTI</v>
      </c>
      <c r="B1" s="254"/>
      <c r="C1" s="254"/>
      <c r="D1" s="254"/>
      <c r="E1" s="254"/>
    </row>
    <row r="2" spans="1:5" s="71" customFormat="1" ht="12.75" customHeight="1">
      <c r="A2" s="294" t="s">
        <v>349</v>
      </c>
      <c r="B2" s="254"/>
      <c r="C2" s="254"/>
      <c r="D2" s="254"/>
      <c r="E2" s="254"/>
    </row>
    <row r="3" spans="1:5" ht="12.75" customHeight="1">
      <c r="A3" s="295" t="s">
        <v>409</v>
      </c>
      <c r="B3" s="296"/>
      <c r="C3" s="296"/>
      <c r="D3" s="296"/>
      <c r="E3" s="296"/>
    </row>
    <row r="4" spans="1:5" ht="12.75" customHeight="1">
      <c r="A4" s="88"/>
      <c r="B4" s="88"/>
      <c r="C4" s="88"/>
      <c r="D4" s="73"/>
      <c r="E4" s="89"/>
    </row>
    <row r="5" spans="1:5" ht="12.75" customHeight="1">
      <c r="A5" s="90" t="s">
        <v>351</v>
      </c>
      <c r="B5" s="297"/>
      <c r="C5" s="297"/>
      <c r="D5" s="297"/>
      <c r="E5" s="297"/>
    </row>
    <row r="6" spans="1:5" ht="12.75" customHeight="1">
      <c r="A6" s="109" t="s">
        <v>352</v>
      </c>
      <c r="B6" s="108">
        <f>Parâmetros!C10</f>
        <v>2022</v>
      </c>
      <c r="C6" s="96">
        <f>B6+1</f>
        <v>2023</v>
      </c>
      <c r="D6" s="96">
        <f>C6+1</f>
        <v>2024</v>
      </c>
      <c r="E6" s="96">
        <f>D6+1</f>
        <v>2025</v>
      </c>
    </row>
    <row r="7" spans="1:6" ht="12.75" customHeight="1">
      <c r="A7" s="102" t="s">
        <v>382</v>
      </c>
      <c r="B7" s="100">
        <f>Projeções!F28</f>
        <v>1030.2020693333334</v>
      </c>
      <c r="C7" s="100">
        <f>Projeções!G28</f>
        <v>965.9757775985778</v>
      </c>
      <c r="D7" s="100">
        <f>Projeções!H28</f>
        <v>962.3512089857327</v>
      </c>
      <c r="E7" s="101">
        <f>Projeções!I28</f>
        <v>1015.7616425317243</v>
      </c>
      <c r="F7" s="83"/>
    </row>
    <row r="8" spans="1:5" ht="12.75" customHeight="1">
      <c r="A8" s="102" t="s">
        <v>383</v>
      </c>
      <c r="B8" s="100">
        <f>Projeções!F52</f>
        <v>172415.31746133335</v>
      </c>
      <c r="C8" s="100">
        <f>Projeções!G52</f>
        <v>163941.65656128284</v>
      </c>
      <c r="D8" s="100">
        <f>Projeções!H52</f>
        <v>146806.69189278374</v>
      </c>
      <c r="E8" s="101">
        <f>Projeções!I52</f>
        <v>165886.1919642873</v>
      </c>
    </row>
    <row r="9" spans="1:5" ht="12.75" customHeight="1">
      <c r="A9" s="102" t="s">
        <v>384</v>
      </c>
      <c r="B9" s="100">
        <f>Projeções!F68</f>
        <v>3885.105813333333</v>
      </c>
      <c r="C9" s="100">
        <f>Projeções!G68</f>
        <v>5119.365932188444</v>
      </c>
      <c r="D9" s="100">
        <f>Projeções!H68</f>
        <v>3099.039025750412</v>
      </c>
      <c r="E9" s="101">
        <f>Projeções!I68</f>
        <v>4155.538698136785</v>
      </c>
    </row>
    <row r="10" spans="1:5" ht="12.75" customHeight="1">
      <c r="A10" s="102" t="s">
        <v>353</v>
      </c>
      <c r="B10" s="100">
        <f>Projeções!F57+Projeções!F71</f>
        <v>0</v>
      </c>
      <c r="C10" s="100">
        <f>Projeções!G57+Projeções!G71</f>
        <v>0</v>
      </c>
      <c r="D10" s="100">
        <f>Projeções!H57+Projeções!H71</f>
        <v>0</v>
      </c>
      <c r="E10" s="101">
        <f>Projeções!I57+Projeções!I71</f>
        <v>0</v>
      </c>
    </row>
    <row r="11" spans="1:5" ht="12.75" customHeight="1">
      <c r="A11" s="102" t="s">
        <v>385</v>
      </c>
      <c r="B11" s="100">
        <f>Projeções!F106</f>
        <v>0</v>
      </c>
      <c r="C11" s="100">
        <f>Projeções!G106</f>
        <v>0</v>
      </c>
      <c r="D11" s="100">
        <f>Projeções!H106</f>
        <v>0</v>
      </c>
      <c r="E11" s="101">
        <f>Projeções!I106</f>
        <v>0</v>
      </c>
    </row>
    <row r="12" spans="1:5" ht="12.75" customHeight="1">
      <c r="A12" s="102" t="s">
        <v>388</v>
      </c>
      <c r="B12" s="100">
        <f>Projeções!F135</f>
        <v>714142.2933333333</v>
      </c>
      <c r="C12" s="100">
        <f>Projeções!G135</f>
        <v>731403.1392888889</v>
      </c>
      <c r="D12" s="100">
        <f>Projeções!H135</f>
        <v>724551.9318669629</v>
      </c>
      <c r="E12" s="101">
        <f>Projeções!I135</f>
        <v>745066.7618079536</v>
      </c>
    </row>
    <row r="13" spans="1:5" ht="12.75" customHeight="1">
      <c r="A13" s="117" t="s">
        <v>386</v>
      </c>
      <c r="B13" s="118">
        <f>B7+B8+B9+B10+B11+B12</f>
        <v>891472.9186773334</v>
      </c>
      <c r="C13" s="118">
        <f>C7+C8+C9+C10+C11+C12</f>
        <v>901430.1375599587</v>
      </c>
      <c r="D13" s="118">
        <f>D7+D8+D9+D10+D11+D12</f>
        <v>875420.0139944828</v>
      </c>
      <c r="E13" s="118">
        <f>E7+E8+E9+E10+E11+E12</f>
        <v>916124.2541129094</v>
      </c>
    </row>
    <row r="14" spans="1:5" ht="12.75" customHeight="1">
      <c r="A14" s="91"/>
      <c r="B14" s="92"/>
      <c r="C14" s="92"/>
      <c r="D14" s="92"/>
      <c r="E14" s="92"/>
    </row>
    <row r="15" spans="1:5" ht="12.75" customHeight="1">
      <c r="A15" s="74" t="s">
        <v>358</v>
      </c>
      <c r="B15" s="78">
        <f>B6</f>
        <v>2022</v>
      </c>
      <c r="C15" s="78">
        <f>B15+1</f>
        <v>2023</v>
      </c>
      <c r="D15" s="78">
        <f>C15+1</f>
        <v>2024</v>
      </c>
      <c r="E15" s="78">
        <f>D15+1</f>
        <v>2025</v>
      </c>
    </row>
    <row r="16" spans="1:5" ht="12.75" customHeight="1">
      <c r="A16" s="85"/>
      <c r="B16" s="86"/>
      <c r="C16" s="86"/>
      <c r="D16" s="86"/>
      <c r="E16" s="86"/>
    </row>
    <row r="17" spans="1:5" ht="12.75" customHeight="1">
      <c r="A17" s="80" t="str">
        <f>Projeções!B148</f>
        <v>Pessoal e Encargos Sociais - Assist. Social</v>
      </c>
      <c r="B17" s="87">
        <f>Projeções!F148</f>
        <v>246641.11052351107</v>
      </c>
      <c r="C17" s="87">
        <f>Projeções!G148</f>
        <v>221057.00190279598</v>
      </c>
      <c r="D17" s="87">
        <f>Projeções!H148</f>
        <v>225966.1556822115</v>
      </c>
      <c r="E17" s="87">
        <f>Projeções!I148</f>
        <v>241789.97588102953</v>
      </c>
    </row>
    <row r="18" spans="1:5" ht="12.75" customHeight="1">
      <c r="A18" s="80" t="str">
        <f>Projeções!B155</f>
        <v>Juros e Encargos da Dívida - Assist. Social</v>
      </c>
      <c r="B18" s="75">
        <f>Projeções!F155</f>
        <v>0</v>
      </c>
      <c r="C18" s="75">
        <f>Projeções!G155</f>
        <v>0</v>
      </c>
      <c r="D18" s="75">
        <f>Projeções!H155</f>
        <v>0</v>
      </c>
      <c r="E18" s="75">
        <f>Projeções!I155</f>
        <v>0</v>
      </c>
    </row>
    <row r="19" spans="1:5" ht="12.75" customHeight="1">
      <c r="A19" s="80" t="str">
        <f>Projeções!B162</f>
        <v>Outros Benef.Assistênciais - Assist. Social</v>
      </c>
      <c r="B19" s="75">
        <f>Projeções!F162</f>
        <v>0</v>
      </c>
      <c r="C19" s="75">
        <f>Projeções!G162</f>
        <v>0</v>
      </c>
      <c r="D19" s="75">
        <f>Projeções!H162</f>
        <v>0</v>
      </c>
      <c r="E19" s="75">
        <f>Projeções!I162</f>
        <v>0</v>
      </c>
    </row>
    <row r="20" spans="1:5" ht="12.75" customHeight="1">
      <c r="A20" s="80" t="str">
        <f>Projeções!B169</f>
        <v>Auxílio - Alimentação - Assist. Social</v>
      </c>
      <c r="B20" s="75">
        <f>Projeções!F169</f>
        <v>17623.945535999996</v>
      </c>
      <c r="C20" s="75">
        <f>Projeções!G169</f>
        <v>16259.379878860796</v>
      </c>
      <c r="D20" s="75">
        <f>Projeções!H169</f>
        <v>16824.01116361459</v>
      </c>
      <c r="E20" s="75">
        <f>Projeções!I169</f>
        <v>17409.51889194322</v>
      </c>
    </row>
    <row r="21" spans="1:5" ht="12.75" customHeight="1">
      <c r="A21" s="80" t="str">
        <f>Projeções!B176</f>
        <v>Obrigações Tributárias e Contributivas - Assist. Social</v>
      </c>
      <c r="B21" s="75">
        <f>Projeções!F176</f>
        <v>0</v>
      </c>
      <c r="C21" s="75">
        <f>Projeções!G176</f>
        <v>0</v>
      </c>
      <c r="D21" s="75">
        <f>Projeções!H176</f>
        <v>0</v>
      </c>
      <c r="E21" s="75">
        <f>Projeções!I176</f>
        <v>0</v>
      </c>
    </row>
    <row r="22" spans="1:5" ht="12.75" customHeight="1">
      <c r="A22" s="80" t="str">
        <f>Projeções!B183</f>
        <v>Sentenças Judiciais - Assist. Social</v>
      </c>
      <c r="B22" s="75">
        <f>Projeções!F183</f>
        <v>0</v>
      </c>
      <c r="C22" s="75">
        <f>Projeções!G183</f>
        <v>0</v>
      </c>
      <c r="D22" s="75">
        <f>Projeções!H183</f>
        <v>0</v>
      </c>
      <c r="E22" s="75">
        <f>Projeções!I183</f>
        <v>0</v>
      </c>
    </row>
    <row r="23" spans="1:5" ht="12.75" customHeight="1">
      <c r="A23" s="80" t="str">
        <f>Projeções!B190</f>
        <v>Indenizações e Restituições - Assist. Social</v>
      </c>
      <c r="B23" s="75">
        <f>Projeções!F190+Projeções!F197</f>
        <v>3301.9423946666666</v>
      </c>
      <c r="C23" s="75">
        <f>Projeções!G190+Projeções!G197</f>
        <v>1136.4185074977777</v>
      </c>
      <c r="D23" s="75">
        <f>Projeções!H190+Projeções!H197</f>
        <v>1523.8372430764593</v>
      </c>
      <c r="E23" s="75">
        <f>Projeções!I190+Projeções!I197</f>
        <v>2047.021363199377</v>
      </c>
    </row>
    <row r="24" spans="1:5" ht="12.75" customHeight="1">
      <c r="A24" s="80" t="str">
        <f>Projeções!B204</f>
        <v>Amortização da Dívida - Assist. Social</v>
      </c>
      <c r="B24" s="75">
        <f>Projeções!F204</f>
        <v>0</v>
      </c>
      <c r="C24" s="75">
        <f>Projeções!G204</f>
        <v>0</v>
      </c>
      <c r="D24" s="75">
        <f>Projeções!H204</f>
        <v>0</v>
      </c>
      <c r="E24" s="75">
        <f>Projeções!I204</f>
        <v>0</v>
      </c>
    </row>
    <row r="25" spans="1:5" ht="12.75" customHeight="1">
      <c r="A25" s="81" t="s">
        <v>350</v>
      </c>
      <c r="B25" s="76">
        <f>SUM(B17:B24)</f>
        <v>267566.99845417775</v>
      </c>
      <c r="C25" s="76">
        <f>SUM(C17:C24)</f>
        <v>238452.80028915455</v>
      </c>
      <c r="D25" s="76">
        <f>SUM(D17:D24)</f>
        <v>244314.00408890255</v>
      </c>
      <c r="E25" s="76">
        <f>SUM(E17:E24)</f>
        <v>261246.5161361721</v>
      </c>
    </row>
    <row r="26" spans="1:5" ht="12.75" customHeight="1">
      <c r="A26" s="82" t="s">
        <v>387</v>
      </c>
      <c r="B26" s="77">
        <f>B13-B25</f>
        <v>623905.9202231556</v>
      </c>
      <c r="C26" s="77">
        <f>C13-C25</f>
        <v>662977.3372708042</v>
      </c>
      <c r="D26" s="77">
        <f>D13-D25</f>
        <v>631106.0099055802</v>
      </c>
      <c r="E26" s="77">
        <f>E13-E25</f>
        <v>654877.7379767373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4">
    <mergeCell ref="A1:E1"/>
    <mergeCell ref="A2:E2"/>
    <mergeCell ref="A3:E3"/>
    <mergeCell ref="B5:E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2.28125" style="72" customWidth="1"/>
    <col min="2" max="3" width="15.7109375" style="72" bestFit="1" customWidth="1"/>
    <col min="4" max="4" width="15.7109375" style="84" bestFit="1" customWidth="1"/>
    <col min="5" max="5" width="15.7109375" style="72" bestFit="1" customWidth="1"/>
    <col min="6" max="16384" width="9.140625" style="72" customWidth="1"/>
  </cols>
  <sheetData>
    <row r="1" spans="1:5" s="71" customFormat="1" ht="12.75" customHeight="1">
      <c r="A1" s="294" t="str">
        <f>Parâmetros!A1</f>
        <v>Município de :  IVOTI</v>
      </c>
      <c r="B1" s="254"/>
      <c r="C1" s="254"/>
      <c r="D1" s="254"/>
      <c r="E1" s="254"/>
    </row>
    <row r="2" spans="1:5" s="71" customFormat="1" ht="12.75" customHeight="1">
      <c r="A2" s="294" t="s">
        <v>349</v>
      </c>
      <c r="B2" s="254"/>
      <c r="C2" s="254"/>
      <c r="D2" s="254"/>
      <c r="E2" s="254"/>
    </row>
    <row r="3" spans="1:5" ht="12.75" customHeight="1">
      <c r="A3" s="295" t="s">
        <v>408</v>
      </c>
      <c r="B3" s="296"/>
      <c r="C3" s="296"/>
      <c r="D3" s="296"/>
      <c r="E3" s="296"/>
    </row>
    <row r="4" spans="1:5" ht="12.75" customHeight="1">
      <c r="A4" s="88"/>
      <c r="B4" s="88"/>
      <c r="C4" s="88"/>
      <c r="D4" s="73"/>
      <c r="E4" s="89"/>
    </row>
    <row r="5" spans="1:5" ht="12.75" customHeight="1">
      <c r="A5" s="90" t="s">
        <v>351</v>
      </c>
      <c r="B5" s="297"/>
      <c r="C5" s="297"/>
      <c r="D5" s="297"/>
      <c r="E5" s="297"/>
    </row>
    <row r="6" spans="1:5" ht="12.75" customHeight="1">
      <c r="A6" s="109" t="s">
        <v>352</v>
      </c>
      <c r="B6" s="108">
        <f>Parâmetros!C10</f>
        <v>2022</v>
      </c>
      <c r="C6" s="96">
        <f>B6+1</f>
        <v>2023</v>
      </c>
      <c r="D6" s="96">
        <f>C6+1</f>
        <v>2024</v>
      </c>
      <c r="E6" s="96">
        <f>D6+1</f>
        <v>2025</v>
      </c>
    </row>
    <row r="7" spans="1:6" ht="12.75" customHeight="1">
      <c r="A7" s="102" t="s">
        <v>390</v>
      </c>
      <c r="B7" s="100">
        <f>Projeções!F17</f>
        <v>3518171.242780939</v>
      </c>
      <c r="C7" s="100">
        <f>Projeções!G17</f>
        <v>3500153.1348542296</v>
      </c>
      <c r="D7" s="100">
        <f>Projeções!H17</f>
        <v>3724180.632895638</v>
      </c>
      <c r="E7" s="101">
        <f>Projeções!I17</f>
        <v>3744506.0194332143</v>
      </c>
      <c r="F7" s="83"/>
    </row>
    <row r="8" spans="1:5" ht="12.75" customHeight="1">
      <c r="A8" s="102" t="s">
        <v>391</v>
      </c>
      <c r="B8" s="100">
        <f>Projeções!F121</f>
        <v>8335382.314538667</v>
      </c>
      <c r="C8" s="100">
        <f>Projeções!G121</f>
        <v>8353066.129570984</v>
      </c>
      <c r="D8" s="100">
        <f>Projeções!H121</f>
        <v>8514149.339514405</v>
      </c>
      <c r="E8" s="101">
        <f>Projeções!I121</f>
        <v>8652891.905710926</v>
      </c>
    </row>
    <row r="9" spans="1:5" ht="12.75" customHeight="1">
      <c r="A9" s="102" t="s">
        <v>392</v>
      </c>
      <c r="B9" s="100">
        <f>Projeções!F32</f>
        <v>6401640.2343999995</v>
      </c>
      <c r="C9" s="100">
        <f>Projeções!G32</f>
        <v>5950858.1919869855</v>
      </c>
      <c r="D9" s="100">
        <f>Projeções!H32</f>
        <v>6512777.54508152</v>
      </c>
      <c r="E9" s="101">
        <f>Projeções!I32</f>
        <v>6481065.453537522</v>
      </c>
    </row>
    <row r="10" spans="1:5" ht="12.75" customHeight="1">
      <c r="A10" s="102" t="s">
        <v>393</v>
      </c>
      <c r="B10" s="100">
        <f>Projeções!F86</f>
        <v>164806.20962133334</v>
      </c>
      <c r="C10" s="100">
        <f>Projeções!G86</f>
        <v>165922.54722359753</v>
      </c>
      <c r="D10" s="100">
        <f>Projeções!H86</f>
        <v>168892.48048079704</v>
      </c>
      <c r="E10" s="101">
        <f>Projeções!I86</f>
        <v>171536.6248151666</v>
      </c>
    </row>
    <row r="11" spans="1:5" ht="12.75" customHeight="1">
      <c r="A11" s="102" t="s">
        <v>394</v>
      </c>
      <c r="B11" s="100">
        <f>Projeções!F118</f>
        <v>0</v>
      </c>
      <c r="C11" s="100">
        <f>Projeções!G118</f>
        <v>0</v>
      </c>
      <c r="D11" s="100">
        <f>Projeções!H118</f>
        <v>0</v>
      </c>
      <c r="E11" s="101">
        <f>Projeções!I118</f>
        <v>0</v>
      </c>
    </row>
    <row r="12" spans="1:5" ht="12.75" customHeight="1">
      <c r="A12" s="117" t="s">
        <v>389</v>
      </c>
      <c r="B12" s="118">
        <f>SUM(B7:B11)</f>
        <v>18420000.001340937</v>
      </c>
      <c r="C12" s="118">
        <f>SUM(C7:C11)</f>
        <v>17970000.003635798</v>
      </c>
      <c r="D12" s="118">
        <f>SUM(D7:D11)</f>
        <v>18919999.99797236</v>
      </c>
      <c r="E12" s="118">
        <f>SUM(E7:E11)</f>
        <v>19050000.003496826</v>
      </c>
    </row>
    <row r="13" spans="1:5" ht="12.75" customHeight="1">
      <c r="A13" s="91"/>
      <c r="B13" s="92"/>
      <c r="C13" s="92"/>
      <c r="D13" s="92"/>
      <c r="E13" s="92"/>
    </row>
    <row r="14" spans="1:5" ht="12.75" customHeight="1">
      <c r="A14" s="74" t="s">
        <v>358</v>
      </c>
      <c r="B14" s="78">
        <f>B6</f>
        <v>2022</v>
      </c>
      <c r="C14" s="78">
        <f>B14+1</f>
        <v>2023</v>
      </c>
      <c r="D14" s="78">
        <f>C14+1</f>
        <v>2024</v>
      </c>
      <c r="E14" s="78">
        <f>D14+1</f>
        <v>2025</v>
      </c>
    </row>
    <row r="15" spans="1:5" ht="12.75" customHeight="1">
      <c r="A15" s="85"/>
      <c r="B15" s="86"/>
      <c r="C15" s="86"/>
      <c r="D15" s="86"/>
      <c r="E15" s="86"/>
    </row>
    <row r="16" spans="1:5" ht="12.75" customHeight="1">
      <c r="A16" s="80" t="str">
        <f>Projeções!B149</f>
        <v>Pessoal e Encargos Sociais - Do RPPS</v>
      </c>
      <c r="B16" s="87">
        <f>Projeções!F149</f>
        <v>4804141.854576966</v>
      </c>
      <c r="C16" s="87">
        <f>Projeções!G149</f>
        <v>4710941.639736825</v>
      </c>
      <c r="D16" s="87">
        <f>Projeções!H149</f>
        <v>4939013.143974715</v>
      </c>
      <c r="E16" s="87">
        <f>Projeções!I149</f>
        <v>5038252.420127693</v>
      </c>
    </row>
    <row r="17" spans="1:5" ht="12.75" customHeight="1">
      <c r="A17" s="80" t="str">
        <f>Projeções!B156</f>
        <v>Juros e Encargos da Dívida - Do RPPS</v>
      </c>
      <c r="B17" s="75">
        <f>Projeções!F156</f>
        <v>0</v>
      </c>
      <c r="C17" s="75">
        <f>Projeções!G156</f>
        <v>0</v>
      </c>
      <c r="D17" s="75">
        <f>Projeções!H156</f>
        <v>0</v>
      </c>
      <c r="E17" s="75">
        <f>Projeções!I156</f>
        <v>0</v>
      </c>
    </row>
    <row r="18" spans="1:5" ht="12.75" customHeight="1">
      <c r="A18" s="80" t="str">
        <f>Projeções!B163</f>
        <v>Outros Benef.Assistênciais - Do RPPS</v>
      </c>
      <c r="B18" s="75">
        <f>Projeções!F163</f>
        <v>0</v>
      </c>
      <c r="C18" s="75">
        <f>Projeções!G163</f>
        <v>0</v>
      </c>
      <c r="D18" s="75">
        <f>Projeções!H163</f>
        <v>0</v>
      </c>
      <c r="E18" s="75">
        <f>Projeções!I163</f>
        <v>0</v>
      </c>
    </row>
    <row r="19" spans="1:5" ht="12.75" customHeight="1">
      <c r="A19" s="80" t="str">
        <f>Projeções!B170</f>
        <v>Auxílio - Alimentação - Do Rpps</v>
      </c>
      <c r="B19" s="75">
        <f>Projeções!F170</f>
        <v>4268.409557333333</v>
      </c>
      <c r="C19" s="75">
        <f>Projeções!G170</f>
        <v>4440.68629477831</v>
      </c>
      <c r="D19" s="75">
        <f>Projeções!H170</f>
        <v>4718.21382243509</v>
      </c>
      <c r="E19" s="75">
        <f>Projeções!I170</f>
        <v>4610.042988261045</v>
      </c>
    </row>
    <row r="20" spans="1:5" ht="12.75" customHeight="1">
      <c r="A20" s="80" t="str">
        <f>Projeções!B177</f>
        <v>Obrigações Tributárias e Contributivas - do RPPS</v>
      </c>
      <c r="B20" s="75">
        <f>Projeções!F177</f>
        <v>0</v>
      </c>
      <c r="C20" s="75">
        <f>Projeções!G177</f>
        <v>0</v>
      </c>
      <c r="D20" s="75">
        <f>Projeções!H177</f>
        <v>0</v>
      </c>
      <c r="E20" s="75">
        <f>Projeções!I177</f>
        <v>0</v>
      </c>
    </row>
    <row r="21" spans="1:5" ht="12.75" customHeight="1">
      <c r="A21" s="80" t="str">
        <f>Projeções!B184</f>
        <v>Sentenças Judiciais - Do RPPS</v>
      </c>
      <c r="B21" s="75">
        <f>Projeções!F184</f>
        <v>0</v>
      </c>
      <c r="C21" s="75">
        <f>Projeções!G184</f>
        <v>0</v>
      </c>
      <c r="D21" s="75">
        <f>Projeções!H184</f>
        <v>0</v>
      </c>
      <c r="E21" s="75">
        <f>Projeções!I184</f>
        <v>0</v>
      </c>
    </row>
    <row r="22" spans="1:5" ht="12.75" customHeight="1">
      <c r="A22" s="80" t="str">
        <f>Projeções!B191</f>
        <v>Indenizações e Restituições - Do RPPS</v>
      </c>
      <c r="B22" s="75">
        <f>Projeções!F191+Projeções!F198</f>
        <v>0</v>
      </c>
      <c r="C22" s="75">
        <f>Projeções!G191+Projeções!G198</f>
        <v>0</v>
      </c>
      <c r="D22" s="75">
        <f>Projeções!H191+Projeções!H198</f>
        <v>0</v>
      </c>
      <c r="E22" s="75">
        <f>Projeções!I191+Projeções!I198</f>
        <v>0</v>
      </c>
    </row>
    <row r="23" spans="1:5" ht="12.75" customHeight="1">
      <c r="A23" s="80" t="str">
        <f>Projeções!B205</f>
        <v>Amortização da Dívida - Do RPPS</v>
      </c>
      <c r="B23" s="75">
        <f>Projeções!F205</f>
        <v>0</v>
      </c>
      <c r="C23" s="75">
        <f>Projeções!G205</f>
        <v>0</v>
      </c>
      <c r="D23" s="75">
        <f>Projeções!H205</f>
        <v>0</v>
      </c>
      <c r="E23" s="75">
        <f>Projeções!I205</f>
        <v>0</v>
      </c>
    </row>
    <row r="24" spans="1:5" ht="12.75" customHeight="1">
      <c r="A24" s="81" t="s">
        <v>350</v>
      </c>
      <c r="B24" s="76">
        <f>SUM(B16:B23)</f>
        <v>4808410.264134299</v>
      </c>
      <c r="C24" s="76">
        <f>SUM(C16:C23)</f>
        <v>4715382.326031603</v>
      </c>
      <c r="D24" s="76">
        <f>SUM(D16:D23)</f>
        <v>4943731.35779715</v>
      </c>
      <c r="E24" s="76">
        <f>SUM(E16:E23)</f>
        <v>5042862.463115954</v>
      </c>
    </row>
    <row r="25" spans="1:5" ht="25.5" customHeight="1">
      <c r="A25" s="185" t="s">
        <v>413</v>
      </c>
      <c r="B25" s="77">
        <f>B12-B24</f>
        <v>13611589.737206638</v>
      </c>
      <c r="C25" s="77">
        <f>C12-C24</f>
        <v>13254617.677604195</v>
      </c>
      <c r="D25" s="77">
        <f>D12-D24</f>
        <v>13976268.640175212</v>
      </c>
      <c r="E25" s="77">
        <f>E12-E24</f>
        <v>14007137.540380873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4">
    <mergeCell ref="A1:E1"/>
    <mergeCell ref="A2:E2"/>
    <mergeCell ref="A3:E3"/>
    <mergeCell ref="B5:E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Câmara Ivoti</cp:lastModifiedBy>
  <cp:lastPrinted>2021-08-17T16:57:40Z</cp:lastPrinted>
  <dcterms:created xsi:type="dcterms:W3CDTF">2000-07-04T17:38:30Z</dcterms:created>
  <dcterms:modified xsi:type="dcterms:W3CDTF">2021-08-25T12:33:05Z</dcterms:modified>
  <cp:category/>
  <cp:version/>
  <cp:contentType/>
  <cp:contentStatus/>
</cp:coreProperties>
</file>