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lano.abreu\Desktop\Portarias RH\"/>
    </mc:Choice>
  </mc:AlternateContent>
  <xr:revisionPtr revIDLastSave="0" documentId="8_{BA99602C-A293-41EA-BC9C-3F8B8BBBB202}" xr6:coauthVersionLast="47" xr6:coauthVersionMax="47" xr10:uidLastSave="{00000000-0000-0000-0000-000000000000}"/>
  <bookViews>
    <workbookView xWindow="-120" yWindow="-120" windowWidth="29040" windowHeight="15720" tabRatio="632" activeTab="2" xr2:uid="{5643783C-BFBF-4408-83E5-67B4BE72DE5E}"/>
  </bookViews>
  <sheets>
    <sheet name="Anexo I - Programas" sheetId="1" r:id="rId1"/>
    <sheet name="Anexo II - Resumo dos Programas" sheetId="2" r:id="rId2"/>
    <sheet name="Anexo III - Progr-Ação-Fun-Subf" sheetId="3" r:id="rId3"/>
    <sheet name="Anexo IV -Projetos e Ativid " sheetId="4"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 i="3" l="1"/>
  <c r="G62" i="4"/>
  <c r="I266" i="1"/>
  <c r="F62" i="4"/>
  <c r="E62" i="4"/>
  <c r="D62" i="4"/>
  <c r="F266" i="1"/>
  <c r="F262" i="1"/>
  <c r="J270" i="1"/>
  <c r="G18" i="4"/>
  <c r="F18" i="4"/>
  <c r="E18" i="4"/>
  <c r="G51" i="1"/>
  <c r="G91" i="1"/>
  <c r="H91" i="1"/>
  <c r="I91" i="1"/>
  <c r="J91" i="1" s="1"/>
  <c r="F91" i="1"/>
  <c r="D18" i="4"/>
  <c r="A25" i="3"/>
  <c r="A58" i="3"/>
  <c r="G292" i="1"/>
  <c r="H292" i="1"/>
  <c r="I292" i="1"/>
  <c r="F292" i="1"/>
  <c r="J292" i="1" s="1"/>
  <c r="G65" i="4"/>
  <c r="I286" i="1" s="1"/>
  <c r="F65" i="4"/>
  <c r="H286" i="1"/>
  <c r="E65" i="4"/>
  <c r="G286" i="1" s="1"/>
  <c r="D65" i="4"/>
  <c r="F286" i="1"/>
  <c r="J17" i="1"/>
  <c r="F15" i="1"/>
  <c r="G6" i="4"/>
  <c r="I15" i="1"/>
  <c r="I11" i="1" s="1"/>
  <c r="F5" i="2" s="1"/>
  <c r="F6" i="4"/>
  <c r="H15" i="1" s="1"/>
  <c r="E6" i="4"/>
  <c r="E8" i="4"/>
  <c r="D6" i="4"/>
  <c r="D8" i="4" s="1"/>
  <c r="F250" i="1"/>
  <c r="A50" i="3"/>
  <c r="G250" i="1"/>
  <c r="H250" i="1"/>
  <c r="I250" i="1"/>
  <c r="D118" i="4"/>
  <c r="A77" i="3"/>
  <c r="A78" i="3"/>
  <c r="A67" i="3"/>
  <c r="F358" i="1"/>
  <c r="F356" i="1"/>
  <c r="F354" i="1"/>
  <c r="F352" i="1"/>
  <c r="F350" i="1"/>
  <c r="F348" i="1"/>
  <c r="G336" i="1"/>
  <c r="H336" i="1"/>
  <c r="I336" i="1"/>
  <c r="F336" i="1"/>
  <c r="E34" i="3"/>
  <c r="E33" i="3"/>
  <c r="D22" i="4"/>
  <c r="F83" i="1"/>
  <c r="C8" i="3"/>
  <c r="C9" i="3"/>
  <c r="E103" i="4"/>
  <c r="G358" i="1"/>
  <c r="E102" i="4"/>
  <c r="E101" i="4"/>
  <c r="F101" i="4"/>
  <c r="G101" i="4" s="1"/>
  <c r="I354" i="1" s="1"/>
  <c r="E100" i="4"/>
  <c r="G352" i="1"/>
  <c r="F100" i="4"/>
  <c r="E99" i="4"/>
  <c r="F99" i="4"/>
  <c r="G99" i="4"/>
  <c r="E98" i="4"/>
  <c r="A76" i="3"/>
  <c r="A79" i="3"/>
  <c r="D86" i="4"/>
  <c r="E86" i="4"/>
  <c r="D120" i="4"/>
  <c r="F246" i="1" s="1"/>
  <c r="D96" i="4"/>
  <c r="F344" i="1"/>
  <c r="D54" i="4"/>
  <c r="F248" i="1" s="1"/>
  <c r="J248" i="1" s="1"/>
  <c r="D40" i="4"/>
  <c r="F144" i="1"/>
  <c r="D39" i="4"/>
  <c r="F142" i="1" s="1"/>
  <c r="J142" i="1" s="1"/>
  <c r="D45" i="4"/>
  <c r="E45" i="4"/>
  <c r="G156" i="1" s="1"/>
  <c r="G136" i="4"/>
  <c r="I417" i="1" s="1"/>
  <c r="I413" i="1" s="1"/>
  <c r="F23" i="2" s="1"/>
  <c r="F136" i="4"/>
  <c r="E136" i="4"/>
  <c r="G417" i="1" s="1"/>
  <c r="D136" i="4"/>
  <c r="D139" i="4" s="1"/>
  <c r="F417" i="1"/>
  <c r="D76" i="4"/>
  <c r="E21" i="4"/>
  <c r="G79" i="1" s="1"/>
  <c r="D21" i="4"/>
  <c r="F79" i="1"/>
  <c r="D56" i="4"/>
  <c r="D55" i="4"/>
  <c r="F81" i="1" s="1"/>
  <c r="J81" i="1" s="1"/>
  <c r="D67" i="4"/>
  <c r="E67" i="4"/>
  <c r="F67" i="4" s="1"/>
  <c r="G67" i="4" s="1"/>
  <c r="I288" i="1" s="1"/>
  <c r="D61" i="4"/>
  <c r="D105" i="4"/>
  <c r="E105" i="4" s="1"/>
  <c r="F399" i="1"/>
  <c r="D130" i="4"/>
  <c r="D131" i="4" s="1"/>
  <c r="C248" i="1"/>
  <c r="C246" i="1"/>
  <c r="C230" i="1"/>
  <c r="C214" i="1"/>
  <c r="E122" i="4"/>
  <c r="G232" i="1"/>
  <c r="F122" i="4"/>
  <c r="H232" i="1" s="1"/>
  <c r="G122" i="4"/>
  <c r="I232" i="1"/>
  <c r="D122" i="4"/>
  <c r="F232" i="1" s="1"/>
  <c r="J232" i="1" s="1"/>
  <c r="D119" i="4"/>
  <c r="F216" i="1"/>
  <c r="D117" i="4"/>
  <c r="D116" i="4"/>
  <c r="E116" i="4"/>
  <c r="G230" i="1" s="1"/>
  <c r="D87" i="4"/>
  <c r="F459" i="1" s="1"/>
  <c r="D84" i="4"/>
  <c r="E84" i="4"/>
  <c r="F84" i="4" s="1"/>
  <c r="D83" i="4"/>
  <c r="D75" i="4"/>
  <c r="D73" i="4"/>
  <c r="F308" i="1"/>
  <c r="D64" i="4"/>
  <c r="F268" i="1" s="1"/>
  <c r="D63" i="4"/>
  <c r="D32" i="4"/>
  <c r="E32" i="4" s="1"/>
  <c r="G120" i="1" s="1"/>
  <c r="F120" i="1"/>
  <c r="F116" i="1" s="1"/>
  <c r="D31" i="4"/>
  <c r="F105" i="1"/>
  <c r="F101" i="1"/>
  <c r="D30" i="4"/>
  <c r="E30" i="4"/>
  <c r="D19" i="4"/>
  <c r="E19" i="4"/>
  <c r="D13" i="4"/>
  <c r="F31" i="1"/>
  <c r="D11" i="4"/>
  <c r="E32" i="3"/>
  <c r="F160" i="1"/>
  <c r="G160" i="1"/>
  <c r="E44" i="4"/>
  <c r="G154" i="1"/>
  <c r="J154" i="1" s="1"/>
  <c r="D43" i="4"/>
  <c r="E43" i="4" s="1"/>
  <c r="F42" i="4"/>
  <c r="H148" i="1"/>
  <c r="D42" i="4"/>
  <c r="F148" i="1" s="1"/>
  <c r="J148" i="1" s="1"/>
  <c r="D41" i="4"/>
  <c r="D37" i="4"/>
  <c r="F138" i="1" s="1"/>
  <c r="D38" i="4"/>
  <c r="F140" i="1"/>
  <c r="D47" i="4"/>
  <c r="F180" i="1"/>
  <c r="D48" i="4"/>
  <c r="F194" i="1"/>
  <c r="D53" i="4"/>
  <c r="F178" i="1" s="1"/>
  <c r="D49" i="4"/>
  <c r="F196" i="1"/>
  <c r="E82" i="3"/>
  <c r="E94" i="3" s="1"/>
  <c r="E80" i="3"/>
  <c r="A84" i="3"/>
  <c r="A85" i="3"/>
  <c r="I397" i="1"/>
  <c r="J397" i="1" s="1"/>
  <c r="H397" i="1"/>
  <c r="G397" i="1"/>
  <c r="I395" i="1"/>
  <c r="G395" i="1"/>
  <c r="J395" i="1" s="1"/>
  <c r="F395" i="1"/>
  <c r="H403" i="1"/>
  <c r="I403" i="1"/>
  <c r="G104" i="4"/>
  <c r="I391" i="1" s="1"/>
  <c r="F106" i="4"/>
  <c r="H395" i="1"/>
  <c r="E109" i="4"/>
  <c r="G403" i="1"/>
  <c r="D110" i="4"/>
  <c r="F397" i="1"/>
  <c r="E130" i="4"/>
  <c r="F129" i="4"/>
  <c r="F130" i="4"/>
  <c r="H464" i="1"/>
  <c r="D138" i="4"/>
  <c r="F433" i="1"/>
  <c r="C61" i="1"/>
  <c r="A16" i="3"/>
  <c r="H160" i="1"/>
  <c r="I160" i="1"/>
  <c r="A40" i="3"/>
  <c r="I158" i="1"/>
  <c r="H158" i="1"/>
  <c r="F13" i="1"/>
  <c r="F29" i="1"/>
  <c r="G29" i="1"/>
  <c r="H29" i="1"/>
  <c r="I29" i="1"/>
  <c r="G31" i="1"/>
  <c r="J31" i="1" s="1"/>
  <c r="H31" i="1"/>
  <c r="I31" i="1"/>
  <c r="F33" i="1"/>
  <c r="G33" i="1"/>
  <c r="J33" i="1" s="1"/>
  <c r="H33" i="1"/>
  <c r="I33" i="1"/>
  <c r="F35" i="1"/>
  <c r="G35" i="1"/>
  <c r="J35" i="1" s="1"/>
  <c r="H35" i="1"/>
  <c r="I35" i="1"/>
  <c r="C38" i="1"/>
  <c r="F47" i="1"/>
  <c r="G47" i="1"/>
  <c r="H47" i="1"/>
  <c r="I47" i="1"/>
  <c r="C59" i="1"/>
  <c r="F73" i="1"/>
  <c r="G73" i="1"/>
  <c r="H73" i="1"/>
  <c r="I73" i="1"/>
  <c r="C75" i="1"/>
  <c r="F75" i="1"/>
  <c r="G75" i="1"/>
  <c r="H75" i="1"/>
  <c r="J75" i="1" s="1"/>
  <c r="I75" i="1"/>
  <c r="F77" i="1"/>
  <c r="G77" i="1"/>
  <c r="H77" i="1"/>
  <c r="J77" i="1" s="1"/>
  <c r="I77" i="1"/>
  <c r="G81" i="1"/>
  <c r="H81" i="1"/>
  <c r="I81" i="1"/>
  <c r="I83" i="1"/>
  <c r="J83" i="1" s="1"/>
  <c r="F85" i="1"/>
  <c r="G85" i="1"/>
  <c r="H85" i="1"/>
  <c r="I85" i="1"/>
  <c r="C87" i="1"/>
  <c r="F87" i="1"/>
  <c r="G87" i="1"/>
  <c r="J87" i="1" s="1"/>
  <c r="H87" i="1"/>
  <c r="I87" i="1"/>
  <c r="C89" i="1"/>
  <c r="F89" i="1"/>
  <c r="G89" i="1"/>
  <c r="H89" i="1"/>
  <c r="I89" i="1"/>
  <c r="C94" i="1"/>
  <c r="F103" i="1"/>
  <c r="G103" i="1"/>
  <c r="H103" i="1"/>
  <c r="I103" i="1"/>
  <c r="C108" i="1"/>
  <c r="F118" i="1"/>
  <c r="G118" i="1"/>
  <c r="H118" i="1"/>
  <c r="I118" i="1"/>
  <c r="B122" i="1"/>
  <c r="C122" i="1"/>
  <c r="F122" i="1"/>
  <c r="J122" i="1" s="1"/>
  <c r="G122" i="1"/>
  <c r="H122" i="1"/>
  <c r="I122" i="1"/>
  <c r="C201" i="1"/>
  <c r="F210" i="1"/>
  <c r="G210" i="1"/>
  <c r="H210" i="1"/>
  <c r="I210" i="1"/>
  <c r="C216" i="1"/>
  <c r="G216" i="1"/>
  <c r="H216" i="1"/>
  <c r="I216" i="1"/>
  <c r="C125" i="1"/>
  <c r="F136" i="1"/>
  <c r="G136" i="1"/>
  <c r="H136" i="1"/>
  <c r="I136" i="1"/>
  <c r="C140" i="1"/>
  <c r="G140" i="1"/>
  <c r="H140" i="1"/>
  <c r="J140" i="1" s="1"/>
  <c r="I140" i="1"/>
  <c r="C142" i="1"/>
  <c r="G142" i="1"/>
  <c r="H142" i="1"/>
  <c r="I142" i="1"/>
  <c r="B144" i="1"/>
  <c r="C144" i="1"/>
  <c r="B146" i="1"/>
  <c r="C146" i="1"/>
  <c r="G146" i="1"/>
  <c r="H146" i="1"/>
  <c r="I146" i="1"/>
  <c r="B148" i="1"/>
  <c r="C148" i="1"/>
  <c r="B152" i="1"/>
  <c r="C152" i="1"/>
  <c r="F152" i="1"/>
  <c r="G152" i="1"/>
  <c r="H152" i="1"/>
  <c r="I152" i="1"/>
  <c r="F154" i="1"/>
  <c r="F158" i="1"/>
  <c r="G158" i="1"/>
  <c r="C165" i="1"/>
  <c r="F176" i="1"/>
  <c r="G176" i="1"/>
  <c r="H176" i="1"/>
  <c r="I176" i="1"/>
  <c r="G178" i="1"/>
  <c r="H178" i="1"/>
  <c r="I178" i="1"/>
  <c r="C183" i="1"/>
  <c r="F192" i="1"/>
  <c r="G192" i="1"/>
  <c r="H192" i="1"/>
  <c r="I192" i="1"/>
  <c r="G194" i="1"/>
  <c r="H194" i="1"/>
  <c r="I194" i="1"/>
  <c r="G196" i="1"/>
  <c r="J196" i="1" s="1"/>
  <c r="H196" i="1"/>
  <c r="H190" i="1" s="1"/>
  <c r="I196" i="1"/>
  <c r="F198" i="1"/>
  <c r="G198" i="1"/>
  <c r="J198" i="1" s="1"/>
  <c r="H198" i="1"/>
  <c r="I198" i="1"/>
  <c r="C219" i="1"/>
  <c r="F228" i="1"/>
  <c r="G228" i="1"/>
  <c r="H228" i="1"/>
  <c r="I228" i="1"/>
  <c r="B232" i="1"/>
  <c r="C232" i="1"/>
  <c r="C235" i="1"/>
  <c r="F244" i="1"/>
  <c r="G244" i="1"/>
  <c r="H244" i="1"/>
  <c r="I244" i="1"/>
  <c r="G248" i="1"/>
  <c r="I248" i="1"/>
  <c r="F264" i="1"/>
  <c r="G264" i="1"/>
  <c r="H264" i="1"/>
  <c r="I264" i="1"/>
  <c r="G266" i="1"/>
  <c r="H266" i="1"/>
  <c r="C273" i="1"/>
  <c r="F282" i="1"/>
  <c r="G282" i="1"/>
  <c r="H282" i="1"/>
  <c r="I282" i="1"/>
  <c r="C286" i="1"/>
  <c r="C288" i="1"/>
  <c r="F290" i="1"/>
  <c r="G290" i="1"/>
  <c r="J290" i="1" s="1"/>
  <c r="H290" i="1"/>
  <c r="C295" i="1"/>
  <c r="F306" i="1"/>
  <c r="G306" i="1"/>
  <c r="H306" i="1"/>
  <c r="I306" i="1"/>
  <c r="C308" i="1"/>
  <c r="C310" i="1"/>
  <c r="F310" i="1"/>
  <c r="G310" i="1"/>
  <c r="H310" i="1"/>
  <c r="I310" i="1"/>
  <c r="J310" i="1" s="1"/>
  <c r="C316" i="1"/>
  <c r="B318" i="1"/>
  <c r="C318" i="1"/>
  <c r="F318" i="1"/>
  <c r="J318" i="1" s="1"/>
  <c r="G318" i="1"/>
  <c r="H318" i="1"/>
  <c r="I318" i="1"/>
  <c r="B320" i="1"/>
  <c r="C320" i="1"/>
  <c r="F320" i="1"/>
  <c r="G320" i="1"/>
  <c r="H320" i="1"/>
  <c r="J320" i="1" s="1"/>
  <c r="I320" i="1"/>
  <c r="C323" i="1"/>
  <c r="F332" i="1"/>
  <c r="G332" i="1"/>
  <c r="H332" i="1"/>
  <c r="I332" i="1"/>
  <c r="F334" i="1"/>
  <c r="G334" i="1"/>
  <c r="H334" i="1"/>
  <c r="I334" i="1"/>
  <c r="C338" i="1"/>
  <c r="F338" i="1"/>
  <c r="G338" i="1"/>
  <c r="H338" i="1"/>
  <c r="I338" i="1"/>
  <c r="F340" i="1"/>
  <c r="J340" i="1" s="1"/>
  <c r="G340" i="1"/>
  <c r="H340" i="1"/>
  <c r="I340" i="1"/>
  <c r="F342" i="1"/>
  <c r="J342" i="1" s="1"/>
  <c r="G342" i="1"/>
  <c r="H342" i="1"/>
  <c r="G344" i="1"/>
  <c r="H344" i="1"/>
  <c r="I344" i="1"/>
  <c r="F346" i="1"/>
  <c r="G346" i="1"/>
  <c r="H346" i="1"/>
  <c r="J346" i="1" s="1"/>
  <c r="I346" i="1"/>
  <c r="F370" i="1"/>
  <c r="G370" i="1"/>
  <c r="H370" i="1"/>
  <c r="I370" i="1"/>
  <c r="B372" i="1"/>
  <c r="C372" i="1"/>
  <c r="F372" i="1"/>
  <c r="J372" i="1" s="1"/>
  <c r="G372" i="1"/>
  <c r="G368" i="1"/>
  <c r="D22" i="2" s="1"/>
  <c r="H372" i="1"/>
  <c r="H368" i="1" s="1"/>
  <c r="E22" i="2" s="1"/>
  <c r="I372" i="1"/>
  <c r="I368" i="1" s="1"/>
  <c r="F22" i="2" s="1"/>
  <c r="C375" i="1"/>
  <c r="F387" i="1"/>
  <c r="G387" i="1"/>
  <c r="H387" i="1"/>
  <c r="I387" i="1"/>
  <c r="F389" i="1"/>
  <c r="G389" i="1"/>
  <c r="H389" i="1"/>
  <c r="I389" i="1"/>
  <c r="F391" i="1"/>
  <c r="J391" i="1" s="1"/>
  <c r="G391" i="1"/>
  <c r="H391" i="1"/>
  <c r="F393" i="1"/>
  <c r="G393" i="1"/>
  <c r="J393" i="1" s="1"/>
  <c r="H393" i="1"/>
  <c r="I393" i="1"/>
  <c r="F401" i="1"/>
  <c r="G401" i="1"/>
  <c r="J401" i="1" s="1"/>
  <c r="H401" i="1"/>
  <c r="I401" i="1"/>
  <c r="B403" i="1"/>
  <c r="C403" i="1"/>
  <c r="C406" i="1"/>
  <c r="F415" i="1"/>
  <c r="G415" i="1"/>
  <c r="H415" i="1"/>
  <c r="I415" i="1"/>
  <c r="C417" i="1"/>
  <c r="C420" i="1"/>
  <c r="F429" i="1"/>
  <c r="G429" i="1"/>
  <c r="H429" i="1"/>
  <c r="I429" i="1"/>
  <c r="C431" i="1"/>
  <c r="F431" i="1"/>
  <c r="G431" i="1"/>
  <c r="H431" i="1"/>
  <c r="I431" i="1"/>
  <c r="I427" i="1" s="1"/>
  <c r="F24" i="2" s="1"/>
  <c r="C433" i="1"/>
  <c r="G433" i="1"/>
  <c r="H433" i="1"/>
  <c r="I433" i="1"/>
  <c r="J433" i="1" s="1"/>
  <c r="C436" i="1"/>
  <c r="F445" i="1"/>
  <c r="G445" i="1"/>
  <c r="H445" i="1"/>
  <c r="I445" i="1"/>
  <c r="B447" i="1"/>
  <c r="C447" i="1"/>
  <c r="F447" i="1"/>
  <c r="G447" i="1"/>
  <c r="H447" i="1"/>
  <c r="I447" i="1"/>
  <c r="B449" i="1"/>
  <c r="C449" i="1"/>
  <c r="F449" i="1"/>
  <c r="G449" i="1"/>
  <c r="H449" i="1"/>
  <c r="I449" i="1"/>
  <c r="F457" i="1"/>
  <c r="G457" i="1"/>
  <c r="H457" i="1"/>
  <c r="I457" i="1"/>
  <c r="B464" i="1"/>
  <c r="C464" i="1"/>
  <c r="F464" i="1"/>
  <c r="G464" i="1"/>
  <c r="I464" i="1"/>
  <c r="A5" i="3"/>
  <c r="A7" i="3"/>
  <c r="A8" i="3" s="1"/>
  <c r="A9" i="3" s="1"/>
  <c r="A10" i="3"/>
  <c r="A11" i="3"/>
  <c r="A12" i="3"/>
  <c r="A13" i="3"/>
  <c r="A14" i="3"/>
  <c r="A15" i="3"/>
  <c r="A17" i="3"/>
  <c r="A18" i="3"/>
  <c r="A19" i="3"/>
  <c r="A20" i="3"/>
  <c r="A21" i="3"/>
  <c r="A22" i="3"/>
  <c r="A23" i="3"/>
  <c r="A24" i="3"/>
  <c r="A26" i="3"/>
  <c r="A27" i="3"/>
  <c r="A29" i="3"/>
  <c r="A30" i="3"/>
  <c r="A31" i="3" s="1"/>
  <c r="D30" i="3"/>
  <c r="D31" i="3"/>
  <c r="A32" i="3"/>
  <c r="D32" i="3"/>
  <c r="A33" i="3"/>
  <c r="A34" i="3"/>
  <c r="A35" i="3"/>
  <c r="A36" i="3"/>
  <c r="A37" i="3"/>
  <c r="A38" i="3"/>
  <c r="A39" i="3"/>
  <c r="A41" i="3"/>
  <c r="A42" i="3"/>
  <c r="A43" i="3"/>
  <c r="A44" i="3"/>
  <c r="A45" i="3"/>
  <c r="A46" i="3"/>
  <c r="A47" i="3"/>
  <c r="A48" i="3"/>
  <c r="A49" i="3"/>
  <c r="A51" i="3"/>
  <c r="A52" i="3"/>
  <c r="A54" i="3"/>
  <c r="A55" i="3"/>
  <c r="A56" i="3"/>
  <c r="A57" i="3"/>
  <c r="A59" i="3"/>
  <c r="A60" i="3"/>
  <c r="A61" i="3"/>
  <c r="A62" i="3"/>
  <c r="A63" i="3"/>
  <c r="A64" i="3"/>
  <c r="A65" i="3"/>
  <c r="A66" i="3"/>
  <c r="A68" i="3"/>
  <c r="A69" i="3"/>
  <c r="A70" i="3"/>
  <c r="A71" i="3"/>
  <c r="A72" i="3"/>
  <c r="A73" i="3"/>
  <c r="A74" i="3"/>
  <c r="A75" i="3"/>
  <c r="A80" i="3"/>
  <c r="A81" i="3"/>
  <c r="A82" i="3"/>
  <c r="A83" i="3"/>
  <c r="A86" i="3"/>
  <c r="A87" i="3"/>
  <c r="A89" i="3"/>
  <c r="A90" i="3"/>
  <c r="A91" i="3"/>
  <c r="A93" i="3"/>
  <c r="H83" i="1"/>
  <c r="G138" i="1"/>
  <c r="H138" i="1"/>
  <c r="I138" i="1"/>
  <c r="G180" i="1"/>
  <c r="H180" i="1"/>
  <c r="G144" i="1"/>
  <c r="H144" i="1"/>
  <c r="I144" i="1"/>
  <c r="G148" i="1"/>
  <c r="H248" i="1"/>
  <c r="I290" i="1"/>
  <c r="F316" i="1"/>
  <c r="G130" i="4"/>
  <c r="G131" i="4"/>
  <c r="I468" i="1"/>
  <c r="G316" i="1"/>
  <c r="I316" i="1"/>
  <c r="H316" i="1"/>
  <c r="J316" i="1" s="1"/>
  <c r="G83" i="1"/>
  <c r="I342" i="1"/>
  <c r="I180" i="1"/>
  <c r="F403" i="1"/>
  <c r="F466" i="1"/>
  <c r="J466" i="1" s="1"/>
  <c r="G466" i="1"/>
  <c r="H466" i="1"/>
  <c r="I466" i="1"/>
  <c r="E73" i="4"/>
  <c r="F44" i="4"/>
  <c r="G44" i="4" s="1"/>
  <c r="I154" i="1" s="1"/>
  <c r="H154" i="1"/>
  <c r="G139" i="4"/>
  <c r="F230" i="1"/>
  <c r="J89" i="1"/>
  <c r="F288" i="1"/>
  <c r="F51" i="1"/>
  <c r="G350" i="1"/>
  <c r="G42" i="4"/>
  <c r="I148" i="1"/>
  <c r="F212" i="1"/>
  <c r="G354" i="1"/>
  <c r="G15" i="1"/>
  <c r="F49" i="1"/>
  <c r="E87" i="4"/>
  <c r="F87" i="4" s="1"/>
  <c r="G87" i="4" s="1"/>
  <c r="I459" i="1" s="1"/>
  <c r="I455" i="1" s="1"/>
  <c r="G71" i="1"/>
  <c r="D8" i="2" s="1"/>
  <c r="J250" i="1"/>
  <c r="H11" i="1"/>
  <c r="E5" i="2" s="1"/>
  <c r="F59" i="1"/>
  <c r="F468" i="1"/>
  <c r="F461" i="1"/>
  <c r="J138" i="1"/>
  <c r="H174" i="1"/>
  <c r="E13" i="2" s="1"/>
  <c r="G174" i="1"/>
  <c r="D13" i="2"/>
  <c r="F427" i="1"/>
  <c r="C24" i="2"/>
  <c r="F11" i="1"/>
  <c r="C5" i="2"/>
  <c r="I190" i="1"/>
  <c r="F14" i="2"/>
  <c r="H354" i="1"/>
  <c r="I27" i="1"/>
  <c r="F6" i="2"/>
  <c r="F103" i="4"/>
  <c r="E31" i="4"/>
  <c r="F8" i="4"/>
  <c r="G8" i="4"/>
  <c r="F156" i="1"/>
  <c r="F226" i="1"/>
  <c r="C15" i="2" s="1"/>
  <c r="F53" i="1"/>
  <c r="I174" i="1"/>
  <c r="F13" i="2" s="1"/>
  <c r="J158" i="1"/>
  <c r="E14" i="2"/>
  <c r="G14" i="2" s="1"/>
  <c r="J85" i="1"/>
  <c r="G427" i="1"/>
  <c r="D24" i="2" s="1"/>
  <c r="J180" i="1"/>
  <c r="G27" i="1"/>
  <c r="D6" i="2" s="1"/>
  <c r="I443" i="1"/>
  <c r="F25" i="2" s="1"/>
  <c r="J160" i="1"/>
  <c r="J152" i="1"/>
  <c r="H427" i="1"/>
  <c r="G190" i="1"/>
  <c r="D14" i="2"/>
  <c r="J464" i="1"/>
  <c r="F27" i="1"/>
  <c r="H27" i="1"/>
  <c r="E6" i="2" s="1"/>
  <c r="J403" i="1"/>
  <c r="G443" i="1"/>
  <c r="F73" i="4"/>
  <c r="G288" i="1"/>
  <c r="J288" i="1" s="1"/>
  <c r="F86" i="4"/>
  <c r="G461" i="1"/>
  <c r="G413" i="1"/>
  <c r="D23" i="2" s="1"/>
  <c r="F45" i="4"/>
  <c r="J194" i="1"/>
  <c r="F190" i="1"/>
  <c r="G308" i="1"/>
  <c r="F146" i="1"/>
  <c r="F150" i="1"/>
  <c r="G53" i="1"/>
  <c r="F30" i="4"/>
  <c r="G100" i="4"/>
  <c r="G459" i="1"/>
  <c r="F455" i="1"/>
  <c r="H51" i="1"/>
  <c r="J51" i="1" s="1"/>
  <c r="G105" i="1"/>
  <c r="G101" i="1" s="1"/>
  <c r="D9" i="2" s="1"/>
  <c r="G103" i="4"/>
  <c r="I358" i="1"/>
  <c r="J358" i="1" s="1"/>
  <c r="H358" i="1"/>
  <c r="D25" i="2"/>
  <c r="C17" i="2"/>
  <c r="J146" i="1"/>
  <c r="F134" i="1"/>
  <c r="H288" i="1"/>
  <c r="G86" i="4"/>
  <c r="I461" i="1"/>
  <c r="H461" i="1"/>
  <c r="J461" i="1" s="1"/>
  <c r="G73" i="4"/>
  <c r="I308" i="1" s="1"/>
  <c r="H308" i="1"/>
  <c r="F32" i="4"/>
  <c r="H53" i="1"/>
  <c r="G30" i="4"/>
  <c r="C14" i="2"/>
  <c r="I51" i="1"/>
  <c r="G116" i="1"/>
  <c r="D10" i="2" s="1"/>
  <c r="J308" i="1"/>
  <c r="C10" i="2" l="1"/>
  <c r="G10" i="2" s="1"/>
  <c r="J334" i="1"/>
  <c r="J156" i="1"/>
  <c r="F19" i="4"/>
  <c r="E27" i="4"/>
  <c r="G61" i="1"/>
  <c r="G84" i="4"/>
  <c r="I59" i="1" s="1"/>
  <c r="H59" i="1"/>
  <c r="H352" i="1"/>
  <c r="H350" i="1"/>
  <c r="J350" i="1" s="1"/>
  <c r="J266" i="1"/>
  <c r="D27" i="4"/>
  <c r="F61" i="1"/>
  <c r="F284" i="1"/>
  <c r="E63" i="4"/>
  <c r="J144" i="1"/>
  <c r="J336" i="1"/>
  <c r="J286" i="1"/>
  <c r="J27" i="1"/>
  <c r="C6" i="2"/>
  <c r="F242" i="1"/>
  <c r="F368" i="1"/>
  <c r="F131" i="4"/>
  <c r="H468" i="1"/>
  <c r="J178" i="1"/>
  <c r="F174" i="1"/>
  <c r="E64" i="4"/>
  <c r="I350" i="1"/>
  <c r="I352" i="1"/>
  <c r="E83" i="4"/>
  <c r="D88" i="4"/>
  <c r="F57" i="1"/>
  <c r="G45" i="4"/>
  <c r="I156" i="1" s="1"/>
  <c r="H156" i="1"/>
  <c r="J15" i="1"/>
  <c r="G11" i="1"/>
  <c r="F443" i="1"/>
  <c r="J447" i="1"/>
  <c r="J338" i="1"/>
  <c r="F330" i="1"/>
  <c r="D58" i="4"/>
  <c r="E34" i="4"/>
  <c r="F31" i="4"/>
  <c r="G59" i="1"/>
  <c r="F71" i="1"/>
  <c r="G468" i="1"/>
  <c r="J468" i="1" s="1"/>
  <c r="E131" i="4"/>
  <c r="C9" i="2"/>
  <c r="F105" i="4"/>
  <c r="G399" i="1"/>
  <c r="G385" i="1" s="1"/>
  <c r="D21" i="2" s="1"/>
  <c r="F21" i="4"/>
  <c r="J344" i="1"/>
  <c r="E113" i="4"/>
  <c r="F98" i="4"/>
  <c r="G348" i="1"/>
  <c r="G330" i="1" s="1"/>
  <c r="D20" i="2" s="1"/>
  <c r="F208" i="1"/>
  <c r="C12" i="2"/>
  <c r="G226" i="1"/>
  <c r="D15" i="2" s="1"/>
  <c r="E118" i="4"/>
  <c r="F214" i="1"/>
  <c r="H459" i="1"/>
  <c r="H455" i="1" s="1"/>
  <c r="E123" i="4"/>
  <c r="J190" i="1"/>
  <c r="D34" i="4"/>
  <c r="E11" i="4"/>
  <c r="D15" i="4"/>
  <c r="D141" i="4" s="1"/>
  <c r="D123" i="4"/>
  <c r="E117" i="4"/>
  <c r="D70" i="4"/>
  <c r="F55" i="1"/>
  <c r="E61" i="4"/>
  <c r="D113" i="4"/>
  <c r="G356" i="1"/>
  <c r="F102" i="4"/>
  <c r="J354" i="1"/>
  <c r="I53" i="1"/>
  <c r="J53" i="1" s="1"/>
  <c r="J389" i="1"/>
  <c r="F385" i="1"/>
  <c r="F413" i="1"/>
  <c r="J417" i="1"/>
  <c r="G32" i="4"/>
  <c r="I120" i="1" s="1"/>
  <c r="I116" i="1" s="1"/>
  <c r="F10" i="2" s="1"/>
  <c r="H120" i="1"/>
  <c r="H116" i="1" s="1"/>
  <c r="E10" i="2" s="1"/>
  <c r="J449" i="1"/>
  <c r="H443" i="1"/>
  <c r="E25" i="2" s="1"/>
  <c r="F139" i="4"/>
  <c r="H417" i="1"/>
  <c r="H413" i="1" s="1"/>
  <c r="E23" i="2" s="1"/>
  <c r="F116" i="4"/>
  <c r="E24" i="2"/>
  <c r="G24" i="2" s="1"/>
  <c r="J427" i="1"/>
  <c r="J431" i="1"/>
  <c r="E58" i="4"/>
  <c r="G150" i="1"/>
  <c r="F43" i="4"/>
  <c r="E75" i="4"/>
  <c r="D80" i="4"/>
  <c r="F312" i="1"/>
  <c r="J216" i="1"/>
  <c r="E76" i="4"/>
  <c r="F314" i="1"/>
  <c r="E120" i="4"/>
  <c r="E139" i="4"/>
  <c r="F45" i="1" l="1"/>
  <c r="C25" i="2"/>
  <c r="G25" i="2" s="1"/>
  <c r="J443" i="1"/>
  <c r="J352" i="1"/>
  <c r="J120" i="1"/>
  <c r="F58" i="4"/>
  <c r="H150" i="1"/>
  <c r="H134" i="1" s="1"/>
  <c r="E12" i="2" s="1"/>
  <c r="G43" i="4"/>
  <c r="G116" i="4"/>
  <c r="H230" i="1"/>
  <c r="F117" i="4"/>
  <c r="G212" i="1"/>
  <c r="G21" i="4"/>
  <c r="I79" i="1" s="1"/>
  <c r="I71" i="1" s="1"/>
  <c r="F8" i="2" s="1"/>
  <c r="H79" i="1"/>
  <c r="J59" i="1"/>
  <c r="J11" i="1"/>
  <c r="D5" i="2"/>
  <c r="C22" i="2"/>
  <c r="G22" i="2" s="1"/>
  <c r="J368" i="1"/>
  <c r="E88" i="4"/>
  <c r="G57" i="1"/>
  <c r="F83" i="4"/>
  <c r="C8" i="2"/>
  <c r="G134" i="1"/>
  <c r="H356" i="1"/>
  <c r="J356" i="1" s="1"/>
  <c r="G102" i="4"/>
  <c r="I356" i="1" s="1"/>
  <c r="F118" i="4"/>
  <c r="G214" i="1"/>
  <c r="J413" i="1"/>
  <c r="C23" i="2"/>
  <c r="G23" i="2" s="1"/>
  <c r="H399" i="1"/>
  <c r="H385" i="1" s="1"/>
  <c r="E21" i="2" s="1"/>
  <c r="G105" i="4"/>
  <c r="I399" i="1" s="1"/>
  <c r="I385" i="1" s="1"/>
  <c r="F21" i="2" s="1"/>
  <c r="G268" i="1"/>
  <c r="F64" i="4"/>
  <c r="C16" i="2"/>
  <c r="J459" i="1"/>
  <c r="E80" i="4"/>
  <c r="F75" i="4"/>
  <c r="G312" i="1"/>
  <c r="G304" i="1" s="1"/>
  <c r="D19" i="2" s="1"/>
  <c r="C11" i="2"/>
  <c r="G31" i="4"/>
  <c r="H105" i="1"/>
  <c r="G314" i="1"/>
  <c r="F76" i="4"/>
  <c r="J174" i="1"/>
  <c r="C13" i="2"/>
  <c r="G13" i="2" s="1"/>
  <c r="G284" i="1"/>
  <c r="G280" i="1" s="1"/>
  <c r="D18" i="2" s="1"/>
  <c r="F63" i="4"/>
  <c r="E15" i="4"/>
  <c r="G49" i="1"/>
  <c r="F11" i="4"/>
  <c r="C20" i="2"/>
  <c r="G6" i="2"/>
  <c r="F280" i="1"/>
  <c r="G19" i="4"/>
  <c r="H61" i="1"/>
  <c r="F27" i="4"/>
  <c r="F34" i="4"/>
  <c r="G455" i="1"/>
  <c r="J455" i="1" s="1"/>
  <c r="G246" i="1"/>
  <c r="F120" i="4"/>
  <c r="J385" i="1"/>
  <c r="C21" i="2"/>
  <c r="F304" i="1"/>
  <c r="F61" i="4"/>
  <c r="E70" i="4"/>
  <c r="G55" i="1"/>
  <c r="F113" i="4"/>
  <c r="G98" i="4"/>
  <c r="H348" i="1"/>
  <c r="H330" i="1" s="1"/>
  <c r="E20" i="2" s="1"/>
  <c r="J116" i="1"/>
  <c r="J314" i="1" l="1"/>
  <c r="G76" i="4"/>
  <c r="I314" i="1" s="1"/>
  <c r="H314" i="1"/>
  <c r="J399" i="1"/>
  <c r="G242" i="1"/>
  <c r="J246" i="1"/>
  <c r="C18" i="2"/>
  <c r="G11" i="4"/>
  <c r="F15" i="4"/>
  <c r="H49" i="1"/>
  <c r="G208" i="1"/>
  <c r="J212" i="1"/>
  <c r="H55" i="1"/>
  <c r="G61" i="4"/>
  <c r="F70" i="4"/>
  <c r="E141" i="4"/>
  <c r="I105" i="1"/>
  <c r="I101" i="1" s="1"/>
  <c r="F9" i="2" s="1"/>
  <c r="G34" i="4"/>
  <c r="G5" i="2"/>
  <c r="H226" i="1"/>
  <c r="G27" i="4"/>
  <c r="I61" i="1"/>
  <c r="J61" i="1" s="1"/>
  <c r="G45" i="1"/>
  <c r="D7" i="2" s="1"/>
  <c r="H101" i="1"/>
  <c r="D12" i="2"/>
  <c r="H212" i="1"/>
  <c r="G117" i="4"/>
  <c r="I212" i="1" s="1"/>
  <c r="I208" i="1" s="1"/>
  <c r="F11" i="2" s="1"/>
  <c r="G63" i="4"/>
  <c r="I284" i="1" s="1"/>
  <c r="I280" i="1" s="1"/>
  <c r="F18" i="2" s="1"/>
  <c r="H284" i="1"/>
  <c r="G64" i="4"/>
  <c r="I268" i="1" s="1"/>
  <c r="I262" i="1" s="1"/>
  <c r="F17" i="2" s="1"/>
  <c r="H268" i="1"/>
  <c r="H262" i="1" s="1"/>
  <c r="E17" i="2" s="1"/>
  <c r="I230" i="1"/>
  <c r="I226" i="1" s="1"/>
  <c r="F15" i="2" s="1"/>
  <c r="H246" i="1"/>
  <c r="H242" i="1" s="1"/>
  <c r="E16" i="2" s="1"/>
  <c r="G120" i="4"/>
  <c r="I246" i="1" s="1"/>
  <c r="I242" i="1" s="1"/>
  <c r="F16" i="2" s="1"/>
  <c r="G262" i="1"/>
  <c r="G83" i="4"/>
  <c r="H57" i="1"/>
  <c r="F88" i="4"/>
  <c r="F123" i="4"/>
  <c r="C7" i="2"/>
  <c r="G113" i="4"/>
  <c r="I348" i="1"/>
  <c r="H312" i="1"/>
  <c r="F80" i="4"/>
  <c r="G75" i="4"/>
  <c r="C19" i="2"/>
  <c r="G21" i="2"/>
  <c r="H214" i="1"/>
  <c r="J214" i="1" s="1"/>
  <c r="G118" i="4"/>
  <c r="I214" i="1" s="1"/>
  <c r="H71" i="1"/>
  <c r="J79" i="1"/>
  <c r="G58" i="4"/>
  <c r="I150" i="1"/>
  <c r="I134" i="1" s="1"/>
  <c r="F12" i="2" s="1"/>
  <c r="H280" i="1" l="1"/>
  <c r="J284" i="1"/>
  <c r="D11" i="2"/>
  <c r="D16" i="2"/>
  <c r="G16" i="2" s="1"/>
  <c r="J242" i="1"/>
  <c r="I330" i="1"/>
  <c r="J348" i="1"/>
  <c r="C27" i="2"/>
  <c r="H208" i="1"/>
  <c r="E11" i="2" s="1"/>
  <c r="H45" i="1"/>
  <c r="E9" i="2"/>
  <c r="G9" i="2" s="1"/>
  <c r="J101" i="1"/>
  <c r="J268" i="1"/>
  <c r="I312" i="1"/>
  <c r="I304" i="1" s="1"/>
  <c r="F19" i="2" s="1"/>
  <c r="G80" i="4"/>
  <c r="G123" i="4"/>
  <c r="J134" i="1"/>
  <c r="J230" i="1"/>
  <c r="F141" i="4"/>
  <c r="D17" i="2"/>
  <c r="G17" i="2" s="1"/>
  <c r="J262" i="1"/>
  <c r="E15" i="2"/>
  <c r="G15" i="2" s="1"/>
  <c r="J226" i="1"/>
  <c r="G15" i="4"/>
  <c r="I49" i="1"/>
  <c r="J150" i="1"/>
  <c r="E8" i="2"/>
  <c r="G8" i="2" s="1"/>
  <c r="J71" i="1"/>
  <c r="G12" i="2"/>
  <c r="H304" i="1"/>
  <c r="J312" i="1"/>
  <c r="G88" i="4"/>
  <c r="I57" i="1"/>
  <c r="J57" i="1" s="1"/>
  <c r="J105" i="1"/>
  <c r="G70" i="4"/>
  <c r="I55" i="1"/>
  <c r="J55" i="1" s="1"/>
  <c r="G141" i="4" l="1"/>
  <c r="J208" i="1"/>
  <c r="G11" i="2"/>
  <c r="E18" i="2"/>
  <c r="G18" i="2" s="1"/>
  <c r="J280" i="1"/>
  <c r="E7" i="2"/>
  <c r="J45" i="1"/>
  <c r="I45" i="1"/>
  <c r="F7" i="2" s="1"/>
  <c r="J49" i="1"/>
  <c r="E19" i="2"/>
  <c r="G19" i="2" s="1"/>
  <c r="J304" i="1"/>
  <c r="D27" i="2"/>
  <c r="F20" i="2"/>
  <c r="G20" i="2" s="1"/>
  <c r="J330" i="1"/>
  <c r="E27" i="2" l="1"/>
  <c r="G27" i="2" s="1"/>
  <c r="G7" i="2"/>
  <c r="F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85" authorId="0" shapeId="0" xr:uid="{9E9EEAE6-6D01-499C-AB83-BCF9FAB11B58}">
      <text>
        <r>
          <rPr>
            <b/>
            <sz val="9"/>
            <color indexed="8"/>
            <rFont val="Tahoma"/>
            <family val="2"/>
          </rPr>
          <t xml:space="preserve">Kelly Braun:
</t>
        </r>
        <r>
          <rPr>
            <sz val="9"/>
            <color indexed="8"/>
            <rFont val="Tahoma"/>
            <family val="2"/>
          </rPr>
          <t>Adequação a Lei 13019.</t>
        </r>
      </text>
    </comment>
    <comment ref="C136" authorId="0" shapeId="0" xr:uid="{43FE8580-9328-43A6-9121-E274F79360E6}">
      <text>
        <r>
          <rPr>
            <sz val="9"/>
            <color indexed="8"/>
            <rFont val="Segoe UI"/>
            <family val="2"/>
          </rPr>
          <t>Custear as despesas correntes nos serviços de apoio, incluindo despesas com pessoal próprio, mantendo a estrutura da autarquia em funcionamento. Contratar assessoria nos serviços técnicos e planejamento para elaborar projetos de melhorias e ampliação dos sistemas. Manutenção da frota e dos sistemas informatizados.</t>
        </r>
      </text>
    </comment>
    <comment ref="C137" authorId="0" shapeId="0" xr:uid="{8C20F7F7-1D42-44DF-8C48-698D74F35EDD}">
      <text>
        <r>
          <rPr>
            <sz val="9"/>
            <color indexed="8"/>
            <rFont val="Segoe UI"/>
            <family val="2"/>
          </rPr>
          <t>Manter o abastecimento contínuo, incluindo a captação, tratamento, reservação e distribuição da água. Reduzir as perdas de água através da manutenção constante das redes, providenciando o conserto dos vazamentos no menor tempo possível, recomposição de pavimentos.  Manutenção elétrica e telemetria manutenção dos poços, conserto de bombas e controle de qualidade da água através de análises químicas e biológicas, limpeza de reservatórios, instalação e substituição de hidrômetros e válvulas de redução de pressão (VRPs) e macro medidores. Reparos gerais na rede. Aumentar a produção e reserva de água melhorando sua distribuição através da ampliação substituição da rede de distribuição de água.</t>
        </r>
      </text>
    </comment>
    <comment ref="C138" authorId="0" shapeId="0" xr:uid="{BE5C8495-0D6E-4604-91E2-D41A41FA593B}">
      <text>
        <r>
          <rPr>
            <sz val="9"/>
            <color indexed="8"/>
            <rFont val="Segoe UI"/>
            <family val="2"/>
          </rPr>
          <t xml:space="preserve">Operar, monitorar, manter limpas as estações de tratamento de esgotos (ETEs); coletar e analisar as amostras de esgoto tratado, manter licenças ambientais atualizadas. Melhoria e ampliação do sistema de esgotamento sanitário presando atender os parâmetros de qualidade no lançamento das águas nos respectivos corpos hídricos. </t>
        </r>
      </text>
    </comment>
  </commentList>
</comments>
</file>

<file path=xl/sharedStrings.xml><?xml version="1.0" encoding="utf-8"?>
<sst xmlns="http://schemas.openxmlformats.org/spreadsheetml/2006/main" count="818" uniqueCount="351">
  <si>
    <t>MUNICÍPIO DE IVOTI</t>
  </si>
  <si>
    <t>ANEXO I - PROGRAMAS</t>
  </si>
  <si>
    <t>PROGRAMA:</t>
  </si>
  <si>
    <t>Ação Legislativa</t>
  </si>
  <si>
    <t>OBJETIVO:</t>
  </si>
  <si>
    <t>Dados Financeiros (em R$ 1,00)</t>
  </si>
  <si>
    <t>TOTAL</t>
  </si>
  <si>
    <t>Total do Programa:</t>
  </si>
  <si>
    <t>TIPO</t>
  </si>
  <si>
    <t>Cód.</t>
  </si>
  <si>
    <t>AÇÕES</t>
  </si>
  <si>
    <t xml:space="preserve">TOTAL </t>
  </si>
  <si>
    <t>A</t>
  </si>
  <si>
    <t>REPASSE A ENTIDADES - CONVÊNIO CONSEPRO E OUTRAS ENTIDADES</t>
  </si>
  <si>
    <t>P</t>
  </si>
  <si>
    <t>VÍDEO MONITORAMENTO</t>
  </si>
  <si>
    <t>Garantir o pleno funcionamento das atividades de apoio administrativo de todos os órgãos da Administração Municipal. Buscar qualidade e efetividade do gasto público otimizando as tarefas executadas pelo aparato de apoio administrativo municipal.</t>
  </si>
  <si>
    <t>Reduzir gastos com serviços de telecomunicação promovendo uma modernização na infraestrutura das redes de comunição, além de melhorar a velocidade,  a segurança e a integridade dos dados e a capacidade de armazenamento; Adequar a estrutura da sede administrativa aos padrões de segurança a fim de proporcionar adequação á legislação vigente e evitar prejuízos aos cofres públicos em decorrência  de eventuais acidentes; Incentivar o aprimoramento dos serviços executados á população por meio da seleção de novos servidores e treinamento constante do quadro;</t>
  </si>
  <si>
    <t>IMPLANTAÇÃO PPCIs EDUCAÇÃO</t>
  </si>
  <si>
    <t xml:space="preserve">Buscar novas alternativas de produção, incentivar a formação de grupos de jovens agricultores e de grupos de Associações e Cooperativas. Colaborar ,e oportunizar por meio de capacitação do produtor,   com a melhoria das condições sócio econômicas do produtor rural. </t>
  </si>
  <si>
    <t>Incentivar o aumento de produção e diversificação, colaborar com a expansão dos mercados mundiais pelas empresas sediadas no Município, elevar o PIB e a arrecadação do Município para também melhorar o índice soioeconômico e a renda familiar.</t>
  </si>
  <si>
    <t>Manter e ampliar os atrativos turísticos do Município, incentivar e apoiar os eventos no Núcleo de Casas Enxaimel e realizar eventos anuias visando atrair turistas, investimentos e circulação econômica dos municípes.</t>
  </si>
  <si>
    <t>NÚCLEO DE CASAS ENXAIMEL</t>
  </si>
  <si>
    <t>Criar as condições imprescindíveis para garantir a educação básica de qualidade; Viabilizar o atendimento educacional de crianças; universalizar o ensino fundamental;Garantir condições físicas e de segurança para as escolas municipais; Assegurar equipamentos e material didático-pedagógico para as escolas Municipais; Melhorar a gestão dos recursos humanos das Escolas Municipais; Qualificar a gestão do sistema municipal de educação.</t>
  </si>
  <si>
    <t>Executar a política de Proteção Social Especial, por meio de convênios com entidades de atendimentos especializados e do núcleo de atendimento de inclusão, com atenção voltada á criança e ao adolescente e à pessoa portadora de deficiência ; Garantir atendimento educacional as pessoas portadoras de necessidades educativas especiais.</t>
  </si>
  <si>
    <t>Proporcionar aos educandos o oferecimento de merenda escolar de qualidade e assegurar a frequência dos educandos à escola promovendo transporte adequado.</t>
  </si>
  <si>
    <t>Implementar ações culturais como meio de democratizar o acesso de toda a sociedade aos bens culturais, de forma a incentivar a inclusão social e contribuir para a prevenção da violência. Ampliar a divulgação e o conhecimento dos bens culturais e históricos das diversas instituições culturais do Município, como museus, bibliotecas e casas de cultura.</t>
  </si>
  <si>
    <t>Ampliar os meios e práticas do esporte com fins educacionais nas escolas e em programas sociais. Modernizar a promoção e a gestão do esporte.</t>
  </si>
  <si>
    <t>Pavimentar, reformar e empreender ações que visem a melhoria das vias urbanas, contribuindo para a melhoria dos níveis de segurança e reduzindo os custos com restauração. Aumentar e modernizar a rede viária pertencente ao Município.</t>
  </si>
  <si>
    <t>Melhorar a iluminação pública, o tráfego e a segurança dos munícipes. Melhorar a eficiência do consumo de energia elétrica e combater o despedício, mediante a execução de projetos de melhoria das redes de iluminação pública. Melhorar o aspecto urbano e paisagístico da cidade. Manter em boas condiçoes de limpeza e conservação os espaços públicos e lazer e recreação para os munícipes e visitantes. Dar adequada coleta e destino aos resíduos sólidos em atendimento as exigências ambientais.</t>
  </si>
  <si>
    <t>Desenvolver ações de preservação do Meio Ambiente, por meio da divulgação de projetos, ampliar a participação da comunidade ivotiense com hábitos sustentáveis visando a implantação de empreendimentos comprometidos com a causa ambiental. Licenciar as atividades de impacto ambiental no Município. Reduzir o impacto ambiental e efetuar a recuperação do Meio Ambiente.</t>
  </si>
  <si>
    <t>Garantir ações de atenção básica à saúde da população. Desenvolver projetos e implementar atividades nas áreas de promoção, proteção, controle, acompanhamento e recuperação da saúde, por meio de serviços de saúde integrados com uma rede regionalizada e hierarquizada. Identificar, monitorar e prevenir doenças, agravos e fatores de risco que possam afetar a saúde humana.</t>
  </si>
  <si>
    <t>Habitação e Desenvolvimento Social</t>
  </si>
  <si>
    <t>Garantir o  atendimento às famílias de menor renda, com a construção de moradias, melhorias nas habitações, regularização fundiária, infra-estrutura, ações educativas de convívio social e de geração de renda.</t>
  </si>
  <si>
    <t>Manter as atividades da Autarquia buscando eficiência e qualidade na prestação dos serviços.</t>
  </si>
  <si>
    <t>Aumentar a produção e reserva de água melhorando sua distribuição; Buscar manter as redes e poços em funcionamento integral; Operar e manter adequadas as estações de tratamento de esgotos visando a qualidade no tratamento.</t>
  </si>
  <si>
    <t>Manter o pleno funcionamento do Regime Próprio de Previdência dos Estatutários.</t>
  </si>
  <si>
    <t>OE</t>
  </si>
  <si>
    <r>
      <rPr>
        <b/>
        <sz val="9"/>
        <rFont val="Arial"/>
        <family val="2"/>
      </rPr>
      <t xml:space="preserve">(*)  Tipo: </t>
    </r>
    <r>
      <rPr>
        <sz val="9"/>
        <rFont val="Arial"/>
        <family val="2"/>
      </rPr>
      <t xml:space="preserve"> P – Projeto       A - Atividade  OE – Operação Especial      NO – Não-orçamentária            </t>
    </r>
  </si>
  <si>
    <t>Encargos Especiais -Ações Não Integrantes do PPA</t>
  </si>
  <si>
    <t>PASEP E PRECATÓRIO</t>
  </si>
  <si>
    <t xml:space="preserve">ANEXO II - RESUMO DOS PROGRAMAS </t>
  </si>
  <si>
    <t>Código do Programa</t>
  </si>
  <si>
    <t>Descrição do Programa</t>
  </si>
  <si>
    <t>Ivoti Segura</t>
  </si>
  <si>
    <t>Supervisão e Coordenação Administrativa</t>
  </si>
  <si>
    <t>Gestão Pública Eficiente</t>
  </si>
  <si>
    <t>Valorização da Produção Rural</t>
  </si>
  <si>
    <t>Promoção do Crescimento</t>
  </si>
  <si>
    <t>Desenvolvimento do Turismo</t>
  </si>
  <si>
    <t>Desenvolvimento Educacional</t>
  </si>
  <si>
    <t>Proteção Social Especial</t>
  </si>
  <si>
    <t>Assistência ao Educando</t>
  </si>
  <si>
    <t>Desenvolvimento da Cultura</t>
  </si>
  <si>
    <t>Promoção do Desporto e Lazer</t>
  </si>
  <si>
    <t>Mobilidade Urbana</t>
  </si>
  <si>
    <t>Melhoria das Vias Urbanas</t>
  </si>
  <si>
    <t>Gestão Ambiental</t>
  </si>
  <si>
    <t>Saúde com Qualidade</t>
  </si>
  <si>
    <t>Proteção Social Básica</t>
  </si>
  <si>
    <t>Gestão dos Serviços de Água</t>
  </si>
  <si>
    <t>Manutenção dos Serviços de Água</t>
  </si>
  <si>
    <t>RPPS</t>
  </si>
  <si>
    <t>TOTAL GERAL DOS PROGRAMAS</t>
  </si>
  <si>
    <t>ANEXO III - CLASSIFICAÇÃO DOS PROGRAMAS  E AÇÕES POR FUNÇÃO E SUBFUNÇÃO DE GOVERNO</t>
  </si>
  <si>
    <t>Programa</t>
  </si>
  <si>
    <t>Função</t>
  </si>
  <si>
    <t>Subfunção</t>
  </si>
  <si>
    <t>Valor Global</t>
  </si>
  <si>
    <t>Manutenção das Atividades Legislativas</t>
  </si>
  <si>
    <t>Legislativa</t>
  </si>
  <si>
    <t>Repasse a Entidades - Convênio Consepro e outras Entidades</t>
  </si>
  <si>
    <t xml:space="preserve">Seguranca Publica  </t>
  </si>
  <si>
    <t xml:space="preserve">Policiamento </t>
  </si>
  <si>
    <t>Defesa Civil</t>
  </si>
  <si>
    <t>Vídeo Monitoramento</t>
  </si>
  <si>
    <t>Manutenção das Atividades do Gabinete</t>
  </si>
  <si>
    <t xml:space="preserve">Administracao           </t>
  </si>
  <si>
    <t>Administracao Geral</t>
  </si>
  <si>
    <t>Manutenção das Atividades da Secretaria de Administração</t>
  </si>
  <si>
    <t>Manutenção das Atividades da Secretaria de Desenvolvimento</t>
  </si>
  <si>
    <t>Manutenção das Atividades da Secretaria de Obras</t>
  </si>
  <si>
    <t xml:space="preserve">Urbanismo   </t>
  </si>
  <si>
    <t xml:space="preserve">Serviços Urbanos </t>
  </si>
  <si>
    <t>Manutenção das Atividades da Secretaria da Fazenda</t>
  </si>
  <si>
    <t xml:space="preserve">Administracao   </t>
  </si>
  <si>
    <t>Administracao Financeira</t>
  </si>
  <si>
    <t>Manutenção da Administração Tributária</t>
  </si>
  <si>
    <t>Administração de Receitas</t>
  </si>
  <si>
    <t>Implantação de Energia Fotovoltaica</t>
  </si>
  <si>
    <t>Tecnologia da Informação</t>
  </si>
  <si>
    <t>Realização de Concursos Públicos</t>
  </si>
  <si>
    <t>Implantação de PPCIs</t>
  </si>
  <si>
    <t>Educação</t>
  </si>
  <si>
    <t>Construção e Reforma dos Espaços Administrativos</t>
  </si>
  <si>
    <t>Programa de Fiscalização e Aumento de Arrecadação</t>
  </si>
  <si>
    <t>Gestão de Infraestrutura de TI</t>
  </si>
  <si>
    <t>Desenvolvimento Profissional Servidor</t>
  </si>
  <si>
    <t>Administração</t>
  </si>
  <si>
    <t>Formação de Recursos Humanos</t>
  </si>
  <si>
    <t>Apoio ao Desenvolvimento Rural</t>
  </si>
  <si>
    <t xml:space="preserve">Agricultura   </t>
  </si>
  <si>
    <t xml:space="preserve">Extensao Rural     </t>
  </si>
  <si>
    <t>Incentivo à Indústria</t>
  </si>
  <si>
    <t xml:space="preserve">Indústria </t>
  </si>
  <si>
    <t xml:space="preserve">Promocao Industrial     </t>
  </si>
  <si>
    <t xml:space="preserve">Comércio e Serviços  </t>
  </si>
  <si>
    <t>Aquisição de área para instalação de indústrias</t>
  </si>
  <si>
    <t>Núcleo de Casas Enxaimel</t>
  </si>
  <si>
    <t xml:space="preserve">Turismo    </t>
  </si>
  <si>
    <t>Calendário de Eventos</t>
  </si>
  <si>
    <t xml:space="preserve">Comércio e Serviços </t>
  </si>
  <si>
    <t>Manutenção das Atividades da Secretaria da Educação</t>
  </si>
  <si>
    <t>Educação Infantil MDE</t>
  </si>
  <si>
    <t>Educação Infantil</t>
  </si>
  <si>
    <t>Educação Infantil FUNDEB</t>
  </si>
  <si>
    <t>Educação Infantil- Salário Educação</t>
  </si>
  <si>
    <t>Educação Fiscal Ensino Fundamental</t>
  </si>
  <si>
    <t>Ensino Fundamental</t>
  </si>
  <si>
    <t>Ensino Fundamental MDE</t>
  </si>
  <si>
    <t>Ensino Fundamental FUNDEB</t>
  </si>
  <si>
    <t>Ensino Fundamental Salário Educação</t>
  </si>
  <si>
    <t>Atendimento Especializado NAI</t>
  </si>
  <si>
    <t>Educação Especial</t>
  </si>
  <si>
    <t>Convênio com Entidades de atendimento especializado</t>
  </si>
  <si>
    <t>Convênio de Apoio a Pessoa Portadora de Necessidades Especiais</t>
  </si>
  <si>
    <t xml:space="preserve">Assistencia Social   </t>
  </si>
  <si>
    <t>Serviços de Transporte Escolar</t>
  </si>
  <si>
    <t>Alimentação Escolar Ensino Fundamental</t>
  </si>
  <si>
    <t xml:space="preserve">Alimentacao e Nutricao  </t>
  </si>
  <si>
    <t>Alimentação Escolar Educação Infantil</t>
  </si>
  <si>
    <t>Manutenção do Departamento de Cultura</t>
  </si>
  <si>
    <t xml:space="preserve">Cultura </t>
  </si>
  <si>
    <t xml:space="preserve">Difusao Cultural  </t>
  </si>
  <si>
    <t>Patrimônio Histórico e Cultural</t>
  </si>
  <si>
    <t>Patrimônio Histórico, Artístico e Arqueológico</t>
  </si>
  <si>
    <t xml:space="preserve">Manutenção do Departamento de Desporto </t>
  </si>
  <si>
    <t xml:space="preserve">Desporto e Lazer       </t>
  </si>
  <si>
    <t xml:space="preserve">Desporto Comunitario  </t>
  </si>
  <si>
    <t>Pograma Lazer Unindo Gerações</t>
  </si>
  <si>
    <t xml:space="preserve">Servicos Urbanos    </t>
  </si>
  <si>
    <t>Pavimentação de Ruas</t>
  </si>
  <si>
    <t>Transporte</t>
  </si>
  <si>
    <t>Transporte Rodoviário</t>
  </si>
  <si>
    <t>Conservação e Abertura de Vias Urbanas e Rurais</t>
  </si>
  <si>
    <t>Melhorias e Manutenção da Iluminação Pública</t>
  </si>
  <si>
    <t xml:space="preserve">Urbanismo </t>
  </si>
  <si>
    <t>Melhoria no Serviço de Limpeza Pública</t>
  </si>
  <si>
    <t>Drenagem Urbana</t>
  </si>
  <si>
    <t>Manutenção das atividades da Secretaria do Meio Ambiente</t>
  </si>
  <si>
    <t xml:space="preserve">Preservacao e Conservacao Ambiental  </t>
  </si>
  <si>
    <t>Programa Consciência Ecológica/Educação Ambiental</t>
  </si>
  <si>
    <t>Gerenciamento de Resíduos</t>
  </si>
  <si>
    <t xml:space="preserve">Saneamento   </t>
  </si>
  <si>
    <t>Saneamento Básico Urbano</t>
  </si>
  <si>
    <t>Projetos Ambientais</t>
  </si>
  <si>
    <t>Proteção e Saúde Animal</t>
  </si>
  <si>
    <t>Defesa Sanitaria Animal</t>
  </si>
  <si>
    <t>Aquisição Área Interesse</t>
  </si>
  <si>
    <t>Manutenção das atividades da Secretaria da Saúde</t>
  </si>
  <si>
    <t>Saúde</t>
  </si>
  <si>
    <t>Administração Geral</t>
  </si>
  <si>
    <t>Vigilância Sanitária</t>
  </si>
  <si>
    <t>Vigilância Epidemológica</t>
  </si>
  <si>
    <t>Contratação de Serviços Especializados em Saúde</t>
  </si>
  <si>
    <t>Assistência Hospitalar e Ambulatorial</t>
  </si>
  <si>
    <t>Construção/ampliação e/ou reforma de uniadades de saúde</t>
  </si>
  <si>
    <t>Atenção Básica</t>
  </si>
  <si>
    <t>Convênios com hospitais</t>
  </si>
  <si>
    <t>Distribuição Gratuita Medicamentos e Insumos</t>
  </si>
  <si>
    <t>Fundo da Criança e do Adolescente</t>
  </si>
  <si>
    <t xml:space="preserve">Assistencia a Crianca e ao Adolescente   </t>
  </si>
  <si>
    <t>Atenção à Família</t>
  </si>
  <si>
    <t xml:space="preserve">Assistencia Comunitaria      </t>
  </si>
  <si>
    <t>Conselho Tutelar</t>
  </si>
  <si>
    <t>Centro de Referência da Mulher</t>
  </si>
  <si>
    <t>Centro do Idoso</t>
  </si>
  <si>
    <t>Assistência ao Idoso</t>
  </si>
  <si>
    <t>Regularização Fundiária</t>
  </si>
  <si>
    <t xml:space="preserve">Habitação </t>
  </si>
  <si>
    <t>Habitação Urbana</t>
  </si>
  <si>
    <t xml:space="preserve">Saneamento Basico Urbano   </t>
  </si>
  <si>
    <t>Apoio Administrativo do RPPS</t>
  </si>
  <si>
    <t>Previdência Social</t>
  </si>
  <si>
    <t>Manutenção das Atividades do RPPS</t>
  </si>
  <si>
    <t>Previdência do Regime Estatutário</t>
  </si>
  <si>
    <t>Soma / Total   ==========================================================================================&gt;</t>
  </si>
  <si>
    <t>ANEXO IV - PROJETO E ATIVIDADE POR ÓRGÃO</t>
  </si>
  <si>
    <t>Cód</t>
  </si>
  <si>
    <t>Descrição do Projeto ou Atividade</t>
  </si>
  <si>
    <t xml:space="preserve">MANUTENÇÃO DAS ATIVIDADES LEGISLATIVAS </t>
  </si>
  <si>
    <t>TOTAL:</t>
  </si>
  <si>
    <t>MANUTENÇÃO DAS ATIVIDADES DO GABINETE</t>
  </si>
  <si>
    <t xml:space="preserve">MANUTENÇÃO DAS ATIVIDADES DA SECRETARIA DA ADMINISTRAÇÃO </t>
  </si>
  <si>
    <t>REALIZAÇÃO DE CONCURSOS PÚBLICOS</t>
  </si>
  <si>
    <t>IMPLANTAÇÃO DE PPCIs</t>
  </si>
  <si>
    <t>CONSTRUÇÃO E REFORMA DOS ESPAÇOS ADMINISTRATIVOS</t>
  </si>
  <si>
    <t>IMPLANTAÇÃO DE ENERGIA FOTOVOLTAICA</t>
  </si>
  <si>
    <t>GESTÃO DE INFRAESTRUTURA DE TI</t>
  </si>
  <si>
    <t>DESENVOLVIMENTO PROFISSIONAL SERVIDOR</t>
  </si>
  <si>
    <t>MANUTENÇÃO DAS ATIVIDADES DA SECRETARIA DE DESENVOLVIMENTO</t>
  </si>
  <si>
    <t xml:space="preserve"> APOIO AO DESENVOLVIMENTO RURAL </t>
  </si>
  <si>
    <t>INCENTIVO A INDÚSTRIA</t>
  </si>
  <si>
    <t xml:space="preserve">CALENDÁRIO DE EVENTOS </t>
  </si>
  <si>
    <t>AQUISIÇÃO DE ÁREA PARA INSTALAÇÃO DE INDÚSTRIAS</t>
  </si>
  <si>
    <t xml:space="preserve">MANUTENÇÃO DAS ATIVIDADES DA SECRETARIA EDUCAÇÃO </t>
  </si>
  <si>
    <t>MANUTENÇÃO DAS ATIVIDADES DA SECRETARIA EDUCAÇÃO FUNDEB</t>
  </si>
  <si>
    <t>ATENDIMENTO ESPECIALIZADO NAI</t>
  </si>
  <si>
    <t>EDUCAÇÃO FISCAL ENSINO FUNDAMENTAL</t>
  </si>
  <si>
    <t xml:space="preserve">CONVÊNIO COM ENTIDADES DE ATENDIMENTOS ESPECIALIZADOS </t>
  </si>
  <si>
    <t>EDUCAÇÃO INFANTIL CRECHE-MDE</t>
  </si>
  <si>
    <t>EDUCAÇÃO INFANTIL CRECHE-FUNDEB</t>
  </si>
  <si>
    <t>EDUCAÇÃO INFANTIL PRE ESCOLA-MDE</t>
  </si>
  <si>
    <t>EDUCAÇÃO INFANTIL PRE ESCOLA-FUNDEB</t>
  </si>
  <si>
    <t>EDUCAÇÃO INFANTIL-SALÁRIO EDUCAÇÃO</t>
  </si>
  <si>
    <t>ENSINO FUNDAMENTAL-MDE</t>
  </si>
  <si>
    <t>ENSINO FUNDAMENTAL-FUNDEB</t>
  </si>
  <si>
    <t>ENSINO FUNDAMENTAL-SALÁRIO EDUCAÇÃO</t>
  </si>
  <si>
    <t xml:space="preserve">SERVIÇOS DE TRANSPORTE ESCOLAR </t>
  </si>
  <si>
    <t>ALIMENTAÇÃO ESCOLAR ENSINO FUNDAMENTAL</t>
  </si>
  <si>
    <t>MANUTENÇÃO DO DEPARTAMENTO DE CULTURA</t>
  </si>
  <si>
    <t>MANUTENÇÃO DO DEPARTAMENTO DE DESPORTO</t>
  </si>
  <si>
    <t>ALIMENTAÇÃO ESCOLAR EDUCAÇÃO INFANTIL</t>
  </si>
  <si>
    <t>PATRIMÔNIO HISTÓRICO E CULTURAL</t>
  </si>
  <si>
    <t>PROGRAMA LAZER UNINDO GERAÇÕES + PROJETOS ESPECIAIS</t>
  </si>
  <si>
    <t>IMPLANTAÇÃO DE PCCIS INFANTIL</t>
  </si>
  <si>
    <t>IMPLANTAÇÃO DE PCCIS FUNDAMENTAL</t>
  </si>
  <si>
    <t>IMPLANTAÇÃO DE PCCIS SEMEC</t>
  </si>
  <si>
    <t xml:space="preserve">MANUTENÇÃO DAS ATIVIDADES DA SECRETARIA DE OBRAS </t>
  </si>
  <si>
    <t>PAVIMENTAÇÃO DE RUAS</t>
  </si>
  <si>
    <t xml:space="preserve">MELHORIAS E MANUTENÇÃO DA ILUMINAÇÃO PÚBLICA </t>
  </si>
  <si>
    <t xml:space="preserve">CONSERVAÇÃO E ABERTURA DE VIAS URBANAS E RURAIS </t>
  </si>
  <si>
    <t xml:space="preserve">MELHORIA NO SERVIÇO DE LIMPEZA PÚBLICA </t>
  </si>
  <si>
    <t xml:space="preserve">DRENAGEM URBANA </t>
  </si>
  <si>
    <t>MANUTENÇÃO DAS ATIVIDADES DA SECRETARIA DE MEIO AMBIENTE</t>
  </si>
  <si>
    <t>PROGRAMA CONSCIÊNCIA ECOLÓGICA/EDUCAÇÃO AMBIENTAL</t>
  </si>
  <si>
    <t xml:space="preserve">GERENCIAMENTO DE RESÍDUOS </t>
  </si>
  <si>
    <t>PROJETOS AMBIENTAIS</t>
  </si>
  <si>
    <t>PROTEÇÃO E SAÚDE ANIMAL</t>
  </si>
  <si>
    <t>AQUISIÇÃO ÁREA INTERESSE</t>
  </si>
  <si>
    <t xml:space="preserve">MANUTENÇÃO DAS ATIVIDADES DA SECRETARIA DA FAZENDA </t>
  </si>
  <si>
    <t>MANUTENÇÃO DA ADMINISTRAÇÃO TRIBUTÁRIA</t>
  </si>
  <si>
    <t>APOIO Á FISCALIZAÇÃO E AO INCREMENTO DA ARRECADAÇÃO</t>
  </si>
  <si>
    <t xml:space="preserve">MANUTENÇÃO DAS ATIVIDADES DA SECRETARIA DA SAÚDE </t>
  </si>
  <si>
    <t xml:space="preserve">VIGILÂNCIA EM SAÚDE </t>
  </si>
  <si>
    <t xml:space="preserve">CONTRATAÇÃO DE SERVIÇOS ESPECIALIZADOS EM SAÚDE </t>
  </si>
  <si>
    <t xml:space="preserve">CONSTRUÇÃO, AMPLIAÇÃO E/OU REFORMA DE UNIDADES DE SAÚDE </t>
  </si>
  <si>
    <t xml:space="preserve">CONVÊNIOS COM HOSPITAIS </t>
  </si>
  <si>
    <t>DISTRIBUIÇÃO GRATUITA MEDICAMENTOS E INSUMOS</t>
  </si>
  <si>
    <t>FUNDO DA CRIANÇA E DO ADOLESCENTE</t>
  </si>
  <si>
    <t>ATENÇÃO A FAMÍLIA</t>
  </si>
  <si>
    <t>CONSELHO TUTELAR</t>
  </si>
  <si>
    <t xml:space="preserve">CONVÊNIO DE APOIO A PESSOA PORTADORA DE NECESSIDADES ESPECIAIS </t>
  </si>
  <si>
    <t>CENTRO DE REFERÊNCIA DA MULHER</t>
  </si>
  <si>
    <t>CENTRO DO IDOSO</t>
  </si>
  <si>
    <t xml:space="preserve">NÚCLEO DE CASAS ENXAIMEL </t>
  </si>
  <si>
    <t>TOTAL GERAL</t>
  </si>
  <si>
    <t>RESERVA CONTINGÊNCIA</t>
  </si>
  <si>
    <t>APOIO ADMINISTRATIVO DO RPPS</t>
  </si>
  <si>
    <t>PAGAMENTO BENEFÍCIOS PREVIDENCIÁRIOS RPPS</t>
  </si>
  <si>
    <t>ENCARGOS ESPECIAIS DE RESPONSABILIDADE DO RPPS</t>
  </si>
  <si>
    <t>RESERVA DE CONTINGENCIA RPPS</t>
  </si>
  <si>
    <t>MANUTENÇÃO DO CONTROLE INTERNO</t>
  </si>
  <si>
    <t>ERER - EDUCAÇÃO PARA AS RELAÇÕES ÉTNICO-RACIAIS</t>
  </si>
  <si>
    <t>ERER-Educação para as Relações Étnico-Raciais</t>
  </si>
  <si>
    <t>Controle Interno</t>
  </si>
  <si>
    <t>Manutenção do Controle Interno</t>
  </si>
  <si>
    <t>Atividadde/Ação/Programa</t>
  </si>
  <si>
    <t>PLANO PLURIANUAL 2026/2029</t>
  </si>
  <si>
    <t>MANUTENÇÃO DAS ATIVIDADES LEGISLATIVAS</t>
  </si>
  <si>
    <t>PPA 2026/2029</t>
  </si>
  <si>
    <t>RESERVA DE CONTINGÊNCIA</t>
  </si>
  <si>
    <t>RESERVA DE CONTINGÊNCIA DO RPPS</t>
  </si>
  <si>
    <t>AMORTIZAÇÃO DO PASSIVO ATUARIAL - RPPS</t>
  </si>
  <si>
    <t>FUNDO DA CRIANÇA E ADOLESCENTE</t>
  </si>
  <si>
    <t xml:space="preserve">ATENÇÃO À FAMILÍA </t>
  </si>
  <si>
    <t>CENTRO DE REFEERÊNCIA DA MULHER</t>
  </si>
  <si>
    <t xml:space="preserve">Assistencia ao Portador de Deficiência </t>
  </si>
  <si>
    <t>MANUTENÇÃO DAS ATIVIDADES DA SECRETARIA DE SAÚDE</t>
  </si>
  <si>
    <t>CONTRATAÇÃO DE SERVIÇOS ESPECIALIZADOS EM SAÚDE</t>
  </si>
  <si>
    <t>CONSTRUÇÃO, AMPLIAÇÃO E/OU REFORMA DE UNIDADES DE SAÚDE</t>
  </si>
  <si>
    <t>CONVÊNIOS COM HOSPITAIS</t>
  </si>
  <si>
    <t>DISTRIBUIÇÃO GRATUITA DE MEDICAMENTOS E INSUMOS</t>
  </si>
  <si>
    <t>ADUCAÇÃO INFANTIL SALÁRIO-EDUCAÇÃO</t>
  </si>
  <si>
    <t>ENSINO FUNDAMENTAL - MDE</t>
  </si>
  <si>
    <t>ENSINO FUNDAMENTAL - FUNDEB</t>
  </si>
  <si>
    <t>ENSINO FUNDAMENTAL - SALÁRIO EDUCAÇÃO</t>
  </si>
  <si>
    <t>PROGRAMA DE FISCALIZAÇÃO E AUMENTO DE ARRECADAÇÃO</t>
  </si>
  <si>
    <t>MANUTENÇÃO DO CONSELHO DA SAÚDE</t>
  </si>
  <si>
    <t>MANUTENÇÃO DO CEAMI E PRAÇA AMBIENTAL</t>
  </si>
  <si>
    <t>CÂMARA DE VEREADORES</t>
  </si>
  <si>
    <t>GABINETE</t>
  </si>
  <si>
    <t>SECRETARIA DE ADMINISTRAÇÃO</t>
  </si>
  <si>
    <t>SECRETARIA DE DESENVOLVIMENTO</t>
  </si>
  <si>
    <t xml:space="preserve">SECRETARIA DE EDUCAÇÃO </t>
  </si>
  <si>
    <t>SECRETARIA DE OBRAS</t>
  </si>
  <si>
    <t>SECRETARIA DE MEIO AMBIENTE</t>
  </si>
  <si>
    <t>SECRETARIA DA FAZENDA</t>
  </si>
  <si>
    <t>CONSTRUÇÃO E/OU REFORMA ESPAÇOS DE ASSIST SOCIAL</t>
  </si>
  <si>
    <t>MANUTENÇÃO DE ATIVIDADES DO DEPARAMENTO DE TURISMO</t>
  </si>
  <si>
    <t>PROGRAMA PRIMEIRA INFÂNCIA - PIM</t>
  </si>
  <si>
    <t xml:space="preserve">CONSTRUÇÃO E REVITALIZAÇÃO DE PRAÇAS E LOGRADOUROS PÚBLICOS </t>
  </si>
  <si>
    <t xml:space="preserve">MANUTENÇÃO DA ASSISTÊNCIA SOCIAL </t>
  </si>
  <si>
    <t>POLÍTICAS DE HABITAÇÃO E REGULARIZAÇÃO FUNDIÁRIA</t>
  </si>
  <si>
    <t>Apoiar e fortalecer as famílias e sujeitos em situação de vulnerabilidade social, a fim de garantir os direitos fundamentais do indivíduo e o restabelecimento da convivência familiar e comunitária por meio de um conjunto de ações, serviços e benefícios. Gestao e manutenção do cemitério municipal e capela mortuária. Gestão do cadastro único, bolsa família e transferência de renda.</t>
  </si>
  <si>
    <t>PRÁTICAS INTEGRATIVAS E COMPLEMENTARES</t>
  </si>
  <si>
    <t>NUMESC - NÚCLEO MUNICIPAL EDUCAÇÃO E SAÚDE COLETIVA</t>
  </si>
  <si>
    <t>PROGRAMA SAÚDE NA ESCOLA</t>
  </si>
  <si>
    <t>EQUIPE MULTIPROFISSIONAL NA SAÚDE MENTAL E CAPS</t>
  </si>
  <si>
    <t>DEFESA CIVIL/ GESTÃO DE RISCO E DESASTRE</t>
  </si>
  <si>
    <t xml:space="preserve">Estabelecer parcerias com as demais Entidades a fim de ampliar a segurança pública, dar atendimento e suporte a desastres ambientais e acidentes extraordinários, como deslizamentos, incêndios e enchentes, através de projetos e obras preventivas em defesa civil, de operações e manutenção das redes de monitoramento e alerta, de desassoreamento de arroios na região da bacia do Arroio Feitoria, de estudos, de projetos e consultorias para a gestão de riscos e desastres, de avaliação de riscos de desastres e mapeamento de áreas de risco, planejamento operacional e de contingência, operação e manutenção da rede de monitoramento e alerta, de ampliação, modernização e melhoria da rede monitoramento e alerta, do aparelhamento da Defesa Civil com equipamentos de proteção individual (EPI) necessários para atuação preventiva e de resposta em situações de emergência, equipamentos de deslocamento, comunicação, apoio e/ou socorro, ações de socorro e assistência humanitária, da recuperação de áreas degradadas. </t>
  </si>
  <si>
    <t>Defesa Civil/ GESTÃO DE RISCO E DESASTRE</t>
  </si>
  <si>
    <t xml:space="preserve">APOIO AO DESENVOLVIMENTO RURAL </t>
  </si>
  <si>
    <t>Construção e Revitalização de Praças e Logradouros Públicos</t>
  </si>
  <si>
    <t>Manutenção do CEAMI  e praça ambiental</t>
  </si>
  <si>
    <t>SECRETARIA DE TURISMO, DESPORTO E CULTURA</t>
  </si>
  <si>
    <t>AUTARQUIA</t>
  </si>
  <si>
    <t>Manutenção de Atividades do Departamento de Turismo</t>
  </si>
  <si>
    <t>ESTRATÉGIA DE SAÚDE DA FAMÍLIA</t>
  </si>
  <si>
    <t>Manutenção do Conselho da Saúde</t>
  </si>
  <si>
    <t>Práticas integrativas e Complementares</t>
  </si>
  <si>
    <t>NUMESC- Núcleo Municipal Educação e saúde coletiva</t>
  </si>
  <si>
    <t>Programa Saúde na Escola</t>
  </si>
  <si>
    <t>Equipe Miltiprofissional na Saúde mental e CAPS</t>
  </si>
  <si>
    <t>Estratégia de Saúde da Família</t>
  </si>
  <si>
    <t>Suporte Profilático e Terapêutico</t>
  </si>
  <si>
    <t>Programa Primeira Infância- PIM</t>
  </si>
  <si>
    <t>MANUTENÇÃO DA ASSISTÊNCIA SOCIAL</t>
  </si>
  <si>
    <t>CONSTRUÇÃO E/OU REFORMA DE ESPAÇOS DA ASSISTÊNCIA SOCIAL</t>
  </si>
  <si>
    <t>Manutenção da Assistência Social</t>
  </si>
  <si>
    <t>Cosntrução/ reforma dos Espaços da Assitência Social</t>
  </si>
  <si>
    <t>CENTRO POLIESPORTIVO</t>
  </si>
  <si>
    <t>Centro Poliesportivo</t>
  </si>
  <si>
    <t>TRANSPARÊNCIA DIGITAL LEGISLATIVA</t>
  </si>
  <si>
    <t>Pagamento dos subsídios dos vereadores com os respectivos encargos sociais. Contratação de assessoria jurídica, pagamento de diárias para eventuais deslocamentos, pagamento de despesas de transportes, viagens, taxa de inscrição em cursos e seminários, contratação de pessoa jurídica e pessoa física para serviços como publicações legais e institucionais, consertos de equipamentos, locação de softwares, provedor de internet, telefone, palestrantes, assinaturas de jornais, publicação de seus atos junto aos meios de comunicação disponíveis, aquisição de matriais de consumo, aquisição de equipamentos e materiais permanentes . Ainda, modernização do site e sistema, ampliação da transparência digial legislativa.</t>
  </si>
  <si>
    <t>Transparência digital legislativa</t>
  </si>
  <si>
    <t xml:space="preserve">CONTRUÇÃO DE PASSEIOS PÚBLICOS </t>
  </si>
  <si>
    <t>Desapropriações</t>
  </si>
  <si>
    <t>DESAPROPRIAÇÕES</t>
  </si>
  <si>
    <t>PLANO DE SINALIZAÇÃO VIÁRIA E EDUCAÇÃO PARA O TRÂNSITO</t>
  </si>
  <si>
    <t>Construção de passeios públicos</t>
  </si>
  <si>
    <t>Plano de sinalização viária e educação para o trânsito</t>
  </si>
  <si>
    <t>SECRETARIA DA SAÚDE E ASSISTÊNCIA SOCIAL</t>
  </si>
  <si>
    <t>MANUTENÇÃO DAS ATIVIDIDADES DA AUTARQUIA</t>
  </si>
  <si>
    <t>MANUTENÇÃO DAS REDES DE ÁGUA</t>
  </si>
  <si>
    <t>MANUTENÇÃO E OPERAÇÃO DO SISTEMA DE ESGOTO</t>
  </si>
  <si>
    <t>0007</t>
  </si>
  <si>
    <t>0008</t>
  </si>
  <si>
    <t>Manutenção das atividades da Autarquia</t>
  </si>
  <si>
    <t>Manutenção Das redes de água</t>
  </si>
  <si>
    <t>Manutenção e Operação do sistema de esgoto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</si>
</sst>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quot;R$ &quot;* #,##0.00_-;&quot;-R$ &quot;* #,##0.00_-;_-&quot;R$ &quot;* \-??_-;_-@_-"/>
    <numFmt numFmtId="165" formatCode="_-* #,##0.00_-;\-* #,##0.00_-;_-* \-??_-;_-@_-"/>
    <numFmt numFmtId="166" formatCode="0000"/>
    <numFmt numFmtId="167" formatCode="_-[$R$-416]* #,##0.00_-;\-[$R$-416]* #,##0.00_-;_-[$R$-416]* \-??_-;_-@_-"/>
    <numFmt numFmtId="168" formatCode="_-&quot;R$&quot;* #,##0.00_-;&quot;-R$&quot;* #,##0.00_-;_-&quot;R$&quot;* \-??_-;_-@_-"/>
    <numFmt numFmtId="169" formatCode="_-&quot;R$ &quot;* #,##0.0000_-;&quot;-R$ &quot;* #,##0.0000_-;_-&quot;R$ &quot;* \-??_-;_-@_-"/>
    <numFmt numFmtId="170" formatCode="&quot;R$&quot;\ #,##0.00"/>
  </numFmts>
  <fonts count="19" x14ac:knownFonts="1">
    <font>
      <sz val="10"/>
      <name val="Arial"/>
      <family val="2"/>
    </font>
    <font>
      <sz val="10"/>
      <name val="Arial"/>
    </font>
    <font>
      <b/>
      <sz val="10"/>
      <name val="Arial"/>
      <family val="2"/>
    </font>
    <font>
      <b/>
      <sz val="10"/>
      <name val="Calibri"/>
      <family val="2"/>
    </font>
    <font>
      <sz val="10"/>
      <name val="Calibri"/>
      <family val="2"/>
    </font>
    <font>
      <b/>
      <sz val="10"/>
      <color indexed="8"/>
      <name val="Arial"/>
      <family val="2"/>
    </font>
    <font>
      <b/>
      <sz val="9"/>
      <name val="Arial"/>
      <family val="2"/>
    </font>
    <font>
      <sz val="9"/>
      <name val="Arial"/>
      <family val="2"/>
    </font>
    <font>
      <sz val="10"/>
      <color indexed="8"/>
      <name val="Arial"/>
      <family val="2"/>
    </font>
    <font>
      <b/>
      <sz val="8"/>
      <name val="Arial"/>
      <family val="2"/>
    </font>
    <font>
      <b/>
      <sz val="12"/>
      <name val="Arial"/>
      <family val="2"/>
    </font>
    <font>
      <b/>
      <sz val="14"/>
      <name val="Arial"/>
      <family val="2"/>
    </font>
    <font>
      <sz val="11"/>
      <color indexed="8"/>
      <name val="Calibri"/>
      <family val="2"/>
    </font>
    <font>
      <b/>
      <sz val="11"/>
      <color indexed="8"/>
      <name val="Calibri"/>
      <family val="2"/>
    </font>
    <font>
      <sz val="10"/>
      <color indexed="10"/>
      <name val="Arial"/>
      <family val="2"/>
    </font>
    <font>
      <b/>
      <sz val="9"/>
      <color indexed="8"/>
      <name val="Tahoma"/>
      <family val="2"/>
    </font>
    <font>
      <sz val="9"/>
      <color indexed="8"/>
      <name val="Tahoma"/>
      <family val="2"/>
    </font>
    <font>
      <sz val="9"/>
      <color indexed="8"/>
      <name val="Segoe UI"/>
      <family val="2"/>
    </font>
    <font>
      <sz val="10"/>
      <name val="Arial"/>
      <family val="2"/>
    </font>
  </fonts>
  <fills count="8">
    <fill>
      <patternFill patternType="none"/>
    </fill>
    <fill>
      <patternFill patternType="gray125"/>
    </fill>
    <fill>
      <patternFill patternType="solid">
        <fgColor indexed="22"/>
        <bgColor indexed="31"/>
      </patternFill>
    </fill>
    <fill>
      <patternFill patternType="solid">
        <fgColor theme="0"/>
        <bgColor indexed="34"/>
      </patternFill>
    </fill>
    <fill>
      <patternFill patternType="solid">
        <fgColor theme="0" tint="-0.249977111117893"/>
        <bgColor indexed="64"/>
      </patternFill>
    </fill>
    <fill>
      <patternFill patternType="solid">
        <fgColor theme="0" tint="-0.249977111117893"/>
        <bgColor indexed="34"/>
      </patternFill>
    </fill>
    <fill>
      <patternFill patternType="solid">
        <fgColor theme="0" tint="-0.249977111117893"/>
        <bgColor indexed="31"/>
      </patternFill>
    </fill>
    <fill>
      <patternFill patternType="solid">
        <fgColor theme="0" tint="-0.14999847407452621"/>
        <bgColor indexed="22"/>
      </patternFill>
    </fill>
  </fills>
  <borders count="106">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bottom style="thin">
        <color indexed="8"/>
      </bottom>
      <diagonal/>
    </border>
    <border>
      <left style="medium">
        <color indexed="8"/>
      </left>
      <right/>
      <top/>
      <bottom/>
      <diagonal/>
    </border>
    <border>
      <left/>
      <right/>
      <top style="thin">
        <color indexed="8"/>
      </top>
      <bottom/>
      <diagonal/>
    </border>
    <border>
      <left/>
      <right style="medium">
        <color indexed="8"/>
      </right>
      <top/>
      <bottom/>
      <diagonal/>
    </border>
    <border>
      <left style="thin">
        <color indexed="8"/>
      </left>
      <right style="thin">
        <color indexed="8"/>
      </right>
      <top/>
      <bottom/>
      <diagonal/>
    </border>
    <border>
      <left/>
      <right/>
      <top style="medium">
        <color indexed="8"/>
      </top>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64"/>
      </right>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medium">
        <color indexed="8"/>
      </left>
      <right style="thin">
        <color indexed="8"/>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thin">
        <color indexed="8"/>
      </left>
      <right/>
      <top/>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right style="medium">
        <color indexed="64"/>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8"/>
      </bottom>
      <diagonal/>
    </border>
    <border>
      <left/>
      <right style="medium">
        <color indexed="64"/>
      </right>
      <top style="thin">
        <color indexed="8"/>
      </top>
      <bottom style="medium">
        <color indexed="64"/>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64"/>
      </left>
      <right/>
      <top style="thin">
        <color indexed="8"/>
      </top>
      <bottom style="thin">
        <color indexed="8"/>
      </bottom>
      <diagonal/>
    </border>
    <border>
      <left style="medium">
        <color indexed="8"/>
      </left>
      <right style="medium">
        <color indexed="64"/>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thin">
        <color indexed="8"/>
      </left>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8"/>
      </left>
      <right style="medium">
        <color indexed="64"/>
      </right>
      <top style="medium">
        <color indexed="8"/>
      </top>
      <bottom/>
      <diagonal/>
    </border>
    <border>
      <left style="medium">
        <color indexed="64"/>
      </left>
      <right/>
      <top/>
      <bottom style="thin">
        <color indexed="8"/>
      </bottom>
      <diagonal/>
    </border>
    <border>
      <left/>
      <right/>
      <top/>
      <bottom style="thin">
        <color indexed="8"/>
      </bottom>
      <diagonal/>
    </border>
    <border>
      <left/>
      <right/>
      <top style="thin">
        <color indexed="8"/>
      </top>
      <bottom style="thin">
        <color indexed="64"/>
      </bottom>
      <diagonal/>
    </border>
    <border>
      <left/>
      <right style="thin">
        <color indexed="8"/>
      </right>
      <top style="thin">
        <color indexed="8"/>
      </top>
      <bottom style="medium">
        <color indexed="8"/>
      </bottom>
      <diagonal/>
    </border>
    <border>
      <left style="thin">
        <color indexed="64"/>
      </left>
      <right style="thin">
        <color indexed="64"/>
      </right>
      <top/>
      <bottom style="thin">
        <color indexed="64"/>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44" fontId="1"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8" fillId="0" borderId="0"/>
    <xf numFmtId="165" fontId="18" fillId="0" borderId="0" applyFont="0" applyFill="0" applyBorder="0" applyAlignment="0" applyProtection="0"/>
    <xf numFmtId="165" fontId="18" fillId="0" borderId="0" applyFont="0" applyFill="0" applyBorder="0" applyAlignment="0" applyProtection="0"/>
    <xf numFmtId="43" fontId="1" fillId="0" borderId="0" applyFill="0" applyBorder="0" applyAlignment="0" applyProtection="0"/>
  </cellStyleXfs>
  <cellXfs count="294">
    <xf numFmtId="0" fontId="0" fillId="0" borderId="0" xfId="0"/>
    <xf numFmtId="0" fontId="18" fillId="0" borderId="0" xfId="4"/>
    <xf numFmtId="3" fontId="3" fillId="0" borderId="0" xfId="4" applyNumberFormat="1" applyFont="1" applyAlignment="1">
      <alignment horizontal="left" vertical="center" wrapText="1"/>
    </xf>
    <xf numFmtId="3" fontId="3" fillId="2" borderId="1" xfId="4" applyNumberFormat="1" applyFont="1" applyFill="1" applyBorder="1" applyAlignment="1">
      <alignment horizontal="left" vertical="center" wrapText="1"/>
    </xf>
    <xf numFmtId="0" fontId="2" fillId="0" borderId="2" xfId="4" applyFont="1" applyBorder="1" applyAlignment="1">
      <alignment horizontal="center"/>
    </xf>
    <xf numFmtId="3" fontId="3" fillId="2" borderId="3" xfId="4" applyNumberFormat="1" applyFont="1" applyFill="1" applyBorder="1" applyAlignment="1">
      <alignment horizontal="center"/>
    </xf>
    <xf numFmtId="3" fontId="3" fillId="0" borderId="4" xfId="4" applyNumberFormat="1" applyFont="1" applyBorder="1" applyAlignment="1">
      <alignment horizontal="left" vertical="center" wrapText="1"/>
    </xf>
    <xf numFmtId="3" fontId="3" fillId="0" borderId="1" xfId="4" applyNumberFormat="1" applyFont="1" applyBorder="1" applyAlignment="1">
      <alignment horizontal="left" vertical="center" wrapText="1"/>
    </xf>
    <xf numFmtId="3" fontId="4" fillId="2" borderId="2" xfId="4" applyNumberFormat="1" applyFont="1" applyFill="1" applyBorder="1"/>
    <xf numFmtId="3" fontId="4" fillId="2" borderId="5" xfId="4" applyNumberFormat="1" applyFont="1" applyFill="1" applyBorder="1"/>
    <xf numFmtId="3" fontId="4" fillId="0" borderId="6" xfId="4" applyNumberFormat="1" applyFont="1" applyBorder="1"/>
    <xf numFmtId="3" fontId="4" fillId="0" borderId="7" xfId="4" applyNumberFormat="1" applyFont="1" applyBorder="1"/>
    <xf numFmtId="3" fontId="4" fillId="0" borderId="0" xfId="4" applyNumberFormat="1" applyFont="1"/>
    <xf numFmtId="3" fontId="4" fillId="0" borderId="8" xfId="4" applyNumberFormat="1" applyFont="1" applyBorder="1"/>
    <xf numFmtId="3" fontId="4" fillId="0" borderId="9" xfId="4" applyNumberFormat="1" applyFont="1" applyBorder="1" applyAlignment="1">
      <alignment horizontal="center" vertical="center"/>
    </xf>
    <xf numFmtId="3" fontId="4" fillId="2" borderId="9" xfId="4" applyNumberFormat="1" applyFont="1" applyFill="1" applyBorder="1" applyAlignment="1">
      <alignment horizontal="center" vertical="center"/>
    </xf>
    <xf numFmtId="0" fontId="2" fillId="0" borderId="0" xfId="4" applyFont="1" applyAlignment="1">
      <alignment horizontal="center" vertical="center"/>
    </xf>
    <xf numFmtId="3" fontId="4" fillId="0" borderId="0" xfId="4" applyNumberFormat="1" applyFont="1" applyAlignment="1">
      <alignment horizontal="center" vertical="center" wrapText="1"/>
    </xf>
    <xf numFmtId="3" fontId="4" fillId="0" borderId="0" xfId="4" applyNumberFormat="1" applyFont="1" applyAlignment="1">
      <alignment horizontal="center" vertical="center"/>
    </xf>
    <xf numFmtId="3" fontId="18" fillId="0" borderId="0" xfId="4" applyNumberFormat="1"/>
    <xf numFmtId="164" fontId="12" fillId="0" borderId="2" xfId="2" applyFont="1" applyFill="1" applyBorder="1" applyAlignment="1" applyProtection="1"/>
    <xf numFmtId="167" fontId="18" fillId="0" borderId="0" xfId="4" applyNumberFormat="1"/>
    <xf numFmtId="168" fontId="18" fillId="0" borderId="0" xfId="4" applyNumberFormat="1"/>
    <xf numFmtId="164" fontId="18" fillId="0" borderId="0" xfId="4" applyNumberFormat="1"/>
    <xf numFmtId="164" fontId="12" fillId="0" borderId="0" xfId="2" applyFont="1" applyFill="1" applyBorder="1" applyAlignment="1" applyProtection="1"/>
    <xf numFmtId="0" fontId="2" fillId="0" borderId="10" xfId="4" applyFont="1" applyBorder="1"/>
    <xf numFmtId="0" fontId="18" fillId="0" borderId="11" xfId="4" applyBorder="1"/>
    <xf numFmtId="164" fontId="12" fillId="0" borderId="11" xfId="2" applyFont="1" applyFill="1" applyBorder="1" applyAlignment="1" applyProtection="1"/>
    <xf numFmtId="169" fontId="18" fillId="0" borderId="0" xfId="4" applyNumberFormat="1"/>
    <xf numFmtId="0" fontId="14" fillId="0" borderId="0" xfId="4" applyFont="1"/>
    <xf numFmtId="0" fontId="18" fillId="3" borderId="0" xfId="4" applyFill="1"/>
    <xf numFmtId="164" fontId="12" fillId="3" borderId="2" xfId="2" applyFont="1" applyFill="1" applyBorder="1" applyAlignment="1" applyProtection="1"/>
    <xf numFmtId="164" fontId="12" fillId="3" borderId="0" xfId="2" applyFont="1" applyFill="1" applyBorder="1" applyAlignment="1" applyProtection="1"/>
    <xf numFmtId="164" fontId="12" fillId="3" borderId="11" xfId="2" applyFont="1" applyFill="1" applyBorder="1" applyAlignment="1" applyProtection="1"/>
    <xf numFmtId="0" fontId="2" fillId="3" borderId="2" xfId="4" applyFont="1" applyFill="1" applyBorder="1" applyAlignment="1">
      <alignment horizontal="center"/>
    </xf>
    <xf numFmtId="3" fontId="4" fillId="3" borderId="0" xfId="4" applyNumberFormat="1" applyFont="1" applyFill="1"/>
    <xf numFmtId="3" fontId="4" fillId="3" borderId="0" xfId="4" applyNumberFormat="1" applyFont="1" applyFill="1" applyAlignment="1">
      <alignment horizontal="center" vertical="center"/>
    </xf>
    <xf numFmtId="3" fontId="3" fillId="3" borderId="0" xfId="4" applyNumberFormat="1" applyFont="1" applyFill="1" applyAlignment="1">
      <alignment horizontal="left" vertical="center" wrapText="1"/>
    </xf>
    <xf numFmtId="3" fontId="18" fillId="3" borderId="0" xfId="4" applyNumberFormat="1" applyFill="1"/>
    <xf numFmtId="43" fontId="1" fillId="0" borderId="0" xfId="7"/>
    <xf numFmtId="43" fontId="1" fillId="0" borderId="0" xfId="7" applyFill="1"/>
    <xf numFmtId="164" fontId="12" fillId="0" borderId="12" xfId="2" applyFont="1" applyFill="1" applyBorder="1" applyAlignment="1" applyProtection="1"/>
    <xf numFmtId="164" fontId="12" fillId="0" borderId="13" xfId="2" applyFont="1" applyFill="1" applyBorder="1" applyAlignment="1" applyProtection="1"/>
    <xf numFmtId="164" fontId="12" fillId="0" borderId="14" xfId="2" applyFont="1" applyFill="1" applyBorder="1" applyAlignment="1" applyProtection="1"/>
    <xf numFmtId="164" fontId="12" fillId="3" borderId="14" xfId="2" applyFont="1" applyFill="1" applyBorder="1" applyAlignment="1" applyProtection="1"/>
    <xf numFmtId="43" fontId="18" fillId="0" borderId="0" xfId="4" applyNumberFormat="1"/>
    <xf numFmtId="9" fontId="0" fillId="0" borderId="0" xfId="4" applyNumberFormat="1" applyFont="1" applyAlignment="1">
      <alignment horizontal="right"/>
    </xf>
    <xf numFmtId="44" fontId="1" fillId="0" borderId="0" xfId="1"/>
    <xf numFmtId="44" fontId="1" fillId="3" borderId="0" xfId="1" applyFill="1"/>
    <xf numFmtId="3" fontId="3" fillId="0" borderId="15" xfId="4" applyNumberFormat="1" applyFont="1" applyBorder="1" applyAlignment="1">
      <alignment horizontal="left" vertical="center" wrapText="1"/>
    </xf>
    <xf numFmtId="3" fontId="3" fillId="2" borderId="16" xfId="4" applyNumberFormat="1" applyFont="1" applyFill="1" applyBorder="1" applyAlignment="1">
      <alignment horizontal="center"/>
    </xf>
    <xf numFmtId="3" fontId="4" fillId="2" borderId="17" xfId="4" applyNumberFormat="1" applyFont="1" applyFill="1" applyBorder="1"/>
    <xf numFmtId="3" fontId="4" fillId="0" borderId="15" xfId="4" applyNumberFormat="1" applyFont="1" applyBorder="1"/>
    <xf numFmtId="3" fontId="4" fillId="0" borderId="18" xfId="4" applyNumberFormat="1" applyFont="1" applyBorder="1"/>
    <xf numFmtId="3" fontId="4" fillId="0" borderId="19" xfId="4" applyNumberFormat="1" applyFont="1" applyBorder="1" applyAlignment="1">
      <alignment horizontal="center" vertical="center"/>
    </xf>
    <xf numFmtId="3" fontId="4" fillId="2" borderId="19" xfId="4" applyNumberFormat="1" applyFont="1" applyFill="1" applyBorder="1" applyAlignment="1">
      <alignment horizontal="center" vertical="center"/>
    </xf>
    <xf numFmtId="0" fontId="2" fillId="0" borderId="15" xfId="4" applyFont="1" applyBorder="1" applyAlignment="1">
      <alignment horizontal="center" vertical="center"/>
    </xf>
    <xf numFmtId="3" fontId="4" fillId="2" borderId="18" xfId="4" applyNumberFormat="1" applyFont="1" applyFill="1" applyBorder="1" applyAlignment="1">
      <alignment horizontal="center" vertical="center"/>
    </xf>
    <xf numFmtId="0" fontId="18" fillId="0" borderId="15" xfId="4" applyBorder="1"/>
    <xf numFmtId="0" fontId="18" fillId="0" borderId="18" xfId="4" applyBorder="1"/>
    <xf numFmtId="3" fontId="3" fillId="0" borderId="18" xfId="4" applyNumberFormat="1" applyFont="1" applyBorder="1" applyAlignment="1">
      <alignment horizontal="left" vertical="center" wrapText="1"/>
    </xf>
    <xf numFmtId="0" fontId="18" fillId="0" borderId="20" xfId="4" applyBorder="1"/>
    <xf numFmtId="0" fontId="18" fillId="0" borderId="21" xfId="4" applyBorder="1"/>
    <xf numFmtId="0" fontId="18" fillId="3" borderId="21" xfId="4" applyFill="1" applyBorder="1"/>
    <xf numFmtId="0" fontId="18" fillId="0" borderId="22" xfId="4" applyBorder="1"/>
    <xf numFmtId="0" fontId="0" fillId="0" borderId="2" xfId="4" applyFont="1" applyBorder="1"/>
    <xf numFmtId="0" fontId="18" fillId="0" borderId="2" xfId="4" applyBorder="1"/>
    <xf numFmtId="0" fontId="8" fillId="0" borderId="2" xfId="4" applyFont="1" applyBorder="1"/>
    <xf numFmtId="0" fontId="2" fillId="0" borderId="0" xfId="4" applyFont="1" applyAlignment="1">
      <alignment horizontal="right"/>
    </xf>
    <xf numFmtId="0" fontId="7" fillId="0" borderId="2" xfId="4" applyFont="1" applyBorder="1"/>
    <xf numFmtId="0" fontId="0" fillId="0" borderId="14" xfId="4" applyFont="1" applyBorder="1"/>
    <xf numFmtId="0" fontId="0" fillId="0" borderId="12" xfId="4" applyFont="1" applyBorder="1"/>
    <xf numFmtId="0" fontId="18" fillId="0" borderId="12" xfId="4" applyBorder="1"/>
    <xf numFmtId="0" fontId="18" fillId="0" borderId="13" xfId="4" applyBorder="1"/>
    <xf numFmtId="0" fontId="18" fillId="0" borderId="6" xfId="4" applyBorder="1"/>
    <xf numFmtId="0" fontId="18" fillId="0" borderId="23" xfId="4" applyBorder="1"/>
    <xf numFmtId="0" fontId="2" fillId="0" borderId="0" xfId="4" applyFont="1"/>
    <xf numFmtId="164" fontId="13" fillId="0" borderId="24" xfId="2" applyFont="1" applyFill="1" applyBorder="1" applyAlignment="1" applyProtection="1"/>
    <xf numFmtId="164" fontId="13" fillId="0" borderId="25" xfId="2" applyFont="1" applyFill="1" applyBorder="1" applyAlignment="1" applyProtection="1"/>
    <xf numFmtId="0" fontId="5" fillId="0" borderId="0" xfId="4" applyFont="1"/>
    <xf numFmtId="44" fontId="18" fillId="0" borderId="0" xfId="4" applyNumberFormat="1"/>
    <xf numFmtId="164" fontId="12" fillId="3" borderId="12" xfId="2" applyFont="1" applyFill="1" applyBorder="1" applyAlignment="1" applyProtection="1"/>
    <xf numFmtId="0" fontId="0" fillId="0" borderId="13" xfId="4" applyFont="1" applyBorder="1"/>
    <xf numFmtId="0" fontId="2" fillId="0" borderId="26" xfId="4" applyFont="1" applyBorder="1" applyAlignment="1">
      <alignment horizontal="center" wrapText="1"/>
    </xf>
    <xf numFmtId="0" fontId="2" fillId="0" borderId="27" xfId="4" applyFont="1" applyBorder="1" applyAlignment="1">
      <alignment horizontal="center"/>
    </xf>
    <xf numFmtId="0" fontId="18" fillId="0" borderId="26" xfId="4" applyBorder="1"/>
    <xf numFmtId="3" fontId="18" fillId="0" borderId="2" xfId="4" applyNumberFormat="1" applyBorder="1"/>
    <xf numFmtId="3" fontId="18" fillId="0" borderId="27" xfId="4" applyNumberFormat="1" applyBorder="1"/>
    <xf numFmtId="0" fontId="2" fillId="0" borderId="25" xfId="4" applyFont="1" applyBorder="1" applyAlignment="1">
      <alignment horizontal="center"/>
    </xf>
    <xf numFmtId="0" fontId="9" fillId="0" borderId="28" xfId="4" applyFont="1" applyBorder="1" applyAlignment="1">
      <alignment horizontal="center"/>
    </xf>
    <xf numFmtId="166" fontId="18" fillId="0" borderId="29" xfId="4" applyNumberFormat="1" applyBorder="1"/>
    <xf numFmtId="3" fontId="7" fillId="0" borderId="30" xfId="4" applyNumberFormat="1" applyFont="1" applyBorder="1" applyAlignment="1">
      <alignment vertical="center"/>
    </xf>
    <xf numFmtId="0" fontId="7" fillId="0" borderId="31" xfId="4" applyFont="1" applyBorder="1"/>
    <xf numFmtId="3" fontId="18" fillId="0" borderId="32" xfId="4" applyNumberFormat="1" applyBorder="1"/>
    <xf numFmtId="0" fontId="7" fillId="0" borderId="0" xfId="4" applyFont="1"/>
    <xf numFmtId="0" fontId="7" fillId="0" borderId="9" xfId="4" applyFont="1" applyBorder="1"/>
    <xf numFmtId="0" fontId="7" fillId="0" borderId="33" xfId="4" applyFont="1" applyBorder="1"/>
    <xf numFmtId="3" fontId="18" fillId="0" borderId="13" xfId="4" applyNumberFormat="1" applyBorder="1"/>
    <xf numFmtId="3" fontId="18" fillId="0" borderId="8" xfId="4" applyNumberFormat="1" applyBorder="1"/>
    <xf numFmtId="166" fontId="18" fillId="0" borderId="6" xfId="4" applyNumberFormat="1" applyBorder="1"/>
    <xf numFmtId="3" fontId="3" fillId="4" borderId="1" xfId="4" applyNumberFormat="1" applyFont="1" applyFill="1" applyBorder="1" applyAlignment="1">
      <alignment horizontal="left" vertical="center" wrapText="1"/>
    </xf>
    <xf numFmtId="3" fontId="4" fillId="4" borderId="2" xfId="4" applyNumberFormat="1" applyFont="1" applyFill="1" applyBorder="1"/>
    <xf numFmtId="3" fontId="3" fillId="4" borderId="3" xfId="4" applyNumberFormat="1" applyFont="1" applyFill="1" applyBorder="1" applyAlignment="1">
      <alignment horizontal="center"/>
    </xf>
    <xf numFmtId="3" fontId="4" fillId="4" borderId="5" xfId="4" applyNumberFormat="1" applyFont="1" applyFill="1" applyBorder="1"/>
    <xf numFmtId="3" fontId="4" fillId="4" borderId="9" xfId="4" applyNumberFormat="1" applyFont="1" applyFill="1" applyBorder="1" applyAlignment="1">
      <alignment horizontal="center" vertical="center"/>
    </xf>
    <xf numFmtId="3" fontId="4" fillId="5" borderId="2" xfId="4" applyNumberFormat="1" applyFont="1" applyFill="1" applyBorder="1"/>
    <xf numFmtId="3" fontId="4" fillId="6" borderId="0" xfId="4" applyNumberFormat="1" applyFont="1" applyFill="1" applyAlignment="1">
      <alignment horizontal="center" vertical="center"/>
    </xf>
    <xf numFmtId="3" fontId="7" fillId="0" borderId="9" xfId="4" applyNumberFormat="1" applyFont="1" applyBorder="1"/>
    <xf numFmtId="164" fontId="13" fillId="0" borderId="34" xfId="2" applyFont="1" applyFill="1" applyBorder="1" applyAlignment="1" applyProtection="1"/>
    <xf numFmtId="164" fontId="13" fillId="0" borderId="35" xfId="2" applyFont="1" applyFill="1" applyBorder="1" applyAlignment="1" applyProtection="1"/>
    <xf numFmtId="164" fontId="13" fillId="3" borderId="35" xfId="2" applyFont="1" applyFill="1" applyBorder="1" applyAlignment="1" applyProtection="1"/>
    <xf numFmtId="164" fontId="13" fillId="0" borderId="36" xfId="2" applyFont="1" applyFill="1" applyBorder="1" applyAlignment="1" applyProtection="1"/>
    <xf numFmtId="164" fontId="2" fillId="0" borderId="34" xfId="2" applyFont="1" applyFill="1" applyBorder="1" applyAlignment="1" applyProtection="1"/>
    <xf numFmtId="164" fontId="2" fillId="0" borderId="35" xfId="2" applyFont="1" applyFill="1" applyBorder="1" applyAlignment="1" applyProtection="1"/>
    <xf numFmtId="164" fontId="2" fillId="3" borderId="35" xfId="2" applyFont="1" applyFill="1" applyBorder="1" applyAlignment="1" applyProtection="1"/>
    <xf numFmtId="164" fontId="2" fillId="0" borderId="36" xfId="2" applyFont="1" applyFill="1" applyBorder="1" applyAlignment="1" applyProtection="1"/>
    <xf numFmtId="164" fontId="2" fillId="3" borderId="37" xfId="2" applyFont="1" applyFill="1" applyBorder="1" applyAlignment="1" applyProtection="1"/>
    <xf numFmtId="164" fontId="2" fillId="0" borderId="38" xfId="2" applyFont="1" applyFill="1" applyBorder="1" applyAlignment="1" applyProtection="1"/>
    <xf numFmtId="164" fontId="2" fillId="0" borderId="34" xfId="4" applyNumberFormat="1" applyFont="1" applyBorder="1"/>
    <xf numFmtId="164" fontId="12" fillId="0" borderId="39" xfId="2" applyFont="1" applyFill="1" applyBorder="1" applyAlignment="1" applyProtection="1"/>
    <xf numFmtId="164" fontId="2" fillId="0" borderId="40" xfId="2" applyFont="1" applyFill="1" applyBorder="1" applyAlignment="1" applyProtection="1"/>
    <xf numFmtId="164" fontId="2" fillId="3" borderId="40" xfId="2" applyFont="1" applyFill="1" applyBorder="1" applyAlignment="1" applyProtection="1"/>
    <xf numFmtId="164" fontId="13" fillId="0" borderId="41" xfId="2" applyFont="1" applyFill="1" applyBorder="1" applyAlignment="1" applyProtection="1"/>
    <xf numFmtId="164" fontId="13" fillId="0" borderId="42" xfId="2" applyFont="1" applyFill="1" applyBorder="1" applyAlignment="1" applyProtection="1"/>
    <xf numFmtId="164" fontId="13" fillId="0" borderId="43" xfId="2" applyFont="1" applyFill="1" applyBorder="1" applyAlignment="1" applyProtection="1"/>
    <xf numFmtId="164" fontId="18" fillId="0" borderId="6" xfId="2" applyFont="1" applyFill="1" applyBorder="1" applyAlignment="1" applyProtection="1"/>
    <xf numFmtId="164" fontId="2" fillId="0" borderId="40" xfId="4" applyNumberFormat="1" applyFont="1" applyBorder="1"/>
    <xf numFmtId="164" fontId="2" fillId="0" borderId="38" xfId="4" applyNumberFormat="1" applyFont="1" applyBorder="1"/>
    <xf numFmtId="164" fontId="12" fillId="0" borderId="1" xfId="2" applyFont="1" applyFill="1" applyBorder="1" applyAlignment="1" applyProtection="1"/>
    <xf numFmtId="164" fontId="12" fillId="0" borderId="44" xfId="2" applyFont="1" applyFill="1" applyBorder="1" applyAlignment="1" applyProtection="1"/>
    <xf numFmtId="3" fontId="18" fillId="0" borderId="28" xfId="4" applyNumberFormat="1" applyBorder="1"/>
    <xf numFmtId="3" fontId="4" fillId="2" borderId="0" xfId="4" applyNumberFormat="1" applyFont="1" applyFill="1" applyAlignment="1">
      <alignment horizontal="center" vertical="center"/>
    </xf>
    <xf numFmtId="3" fontId="4" fillId="0" borderId="33" xfId="4" applyNumberFormat="1" applyFont="1" applyBorder="1" applyAlignment="1">
      <alignment horizontal="center" vertical="center"/>
    </xf>
    <xf numFmtId="0" fontId="18" fillId="0" borderId="27" xfId="4" applyBorder="1"/>
    <xf numFmtId="3" fontId="18" fillId="0" borderId="45" xfId="4" applyNumberFormat="1" applyBorder="1"/>
    <xf numFmtId="3" fontId="18" fillId="0" borderId="46" xfId="4" applyNumberFormat="1" applyBorder="1"/>
    <xf numFmtId="0" fontId="2" fillId="0" borderId="47" xfId="4" applyFont="1" applyBorder="1"/>
    <xf numFmtId="0" fontId="10" fillId="0" borderId="48" xfId="4" applyFont="1" applyBorder="1" applyAlignment="1">
      <alignment horizontal="center"/>
    </xf>
    <xf numFmtId="0" fontId="11" fillId="0" borderId="48" xfId="4" applyFont="1" applyBorder="1" applyAlignment="1">
      <alignment horizontal="center"/>
    </xf>
    <xf numFmtId="0" fontId="11" fillId="3" borderId="48" xfId="4" applyFont="1" applyFill="1" applyBorder="1" applyAlignment="1">
      <alignment horizontal="center"/>
    </xf>
    <xf numFmtId="0" fontId="11" fillId="0" borderId="49" xfId="4" applyFont="1" applyBorder="1" applyAlignment="1">
      <alignment horizontal="center"/>
    </xf>
    <xf numFmtId="0" fontId="18" fillId="0" borderId="50" xfId="4" applyBorder="1"/>
    <xf numFmtId="164" fontId="12" fillId="0" borderId="51" xfId="2" applyFont="1" applyFill="1" applyBorder="1" applyAlignment="1" applyProtection="1"/>
    <xf numFmtId="164" fontId="13" fillId="0" borderId="52" xfId="2" applyFont="1" applyFill="1" applyBorder="1" applyAlignment="1" applyProtection="1"/>
    <xf numFmtId="0" fontId="0" fillId="0" borderId="50" xfId="4" applyFont="1" applyBorder="1"/>
    <xf numFmtId="164" fontId="12" fillId="0" borderId="53" xfId="2" applyFont="1" applyFill="1" applyBorder="1" applyAlignment="1" applyProtection="1"/>
    <xf numFmtId="0" fontId="0" fillId="0" borderId="54" xfId="4" applyFont="1" applyBorder="1"/>
    <xf numFmtId="0" fontId="18" fillId="0" borderId="54" xfId="4" applyBorder="1"/>
    <xf numFmtId="0" fontId="2" fillId="0" borderId="21" xfId="4" applyFont="1" applyBorder="1" applyAlignment="1">
      <alignment horizontal="right"/>
    </xf>
    <xf numFmtId="164" fontId="2" fillId="0" borderId="20" xfId="4" applyNumberFormat="1" applyFont="1" applyBorder="1"/>
    <xf numFmtId="164" fontId="2" fillId="0" borderId="55" xfId="4" applyNumberFormat="1" applyFont="1" applyBorder="1"/>
    <xf numFmtId="164" fontId="2" fillId="0" borderId="56" xfId="4" applyNumberFormat="1" applyFont="1" applyBorder="1"/>
    <xf numFmtId="164" fontId="12" fillId="0" borderId="18" xfId="2" applyFont="1" applyFill="1" applyBorder="1" applyAlignment="1" applyProtection="1"/>
    <xf numFmtId="0" fontId="0" fillId="0" borderId="57" xfId="4" applyFont="1" applyBorder="1"/>
    <xf numFmtId="0" fontId="0" fillId="0" borderId="58" xfId="4" applyFont="1" applyBorder="1"/>
    <xf numFmtId="164" fontId="12" fillId="0" borderId="58" xfId="2" applyFont="1" applyFill="1" applyBorder="1" applyAlignment="1" applyProtection="1"/>
    <xf numFmtId="164" fontId="12" fillId="0" borderId="59" xfId="2" applyFont="1" applyFill="1" applyBorder="1" applyAlignment="1" applyProtection="1"/>
    <xf numFmtId="164" fontId="2" fillId="0" borderId="0" xfId="2" applyFont="1" applyFill="1" applyBorder="1" applyAlignment="1" applyProtection="1"/>
    <xf numFmtId="0" fontId="0" fillId="0" borderId="60" xfId="4" applyFont="1" applyBorder="1"/>
    <xf numFmtId="164" fontId="12" fillId="0" borderId="61" xfId="2" applyFont="1" applyFill="1" applyBorder="1" applyAlignment="1" applyProtection="1"/>
    <xf numFmtId="0" fontId="0" fillId="0" borderId="62" xfId="4" applyFont="1" applyBorder="1"/>
    <xf numFmtId="164" fontId="12" fillId="0" borderId="63" xfId="2" applyFont="1" applyFill="1" applyBorder="1" applyAlignment="1" applyProtection="1"/>
    <xf numFmtId="164" fontId="12" fillId="0" borderId="64" xfId="2" applyFont="1" applyFill="1" applyBorder="1" applyAlignment="1" applyProtection="1"/>
    <xf numFmtId="0" fontId="0" fillId="0" borderId="65" xfId="4" applyFont="1" applyBorder="1"/>
    <xf numFmtId="0" fontId="18" fillId="0" borderId="66" xfId="4" applyBorder="1"/>
    <xf numFmtId="164" fontId="12" fillId="0" borderId="67" xfId="2" applyFont="1" applyFill="1" applyBorder="1" applyAlignment="1" applyProtection="1"/>
    <xf numFmtId="164" fontId="18" fillId="3" borderId="0" xfId="4" applyNumberFormat="1" applyFill="1"/>
    <xf numFmtId="164" fontId="18" fillId="0" borderId="18" xfId="4" applyNumberFormat="1" applyBorder="1"/>
    <xf numFmtId="4" fontId="18" fillId="0" borderId="0" xfId="4" applyNumberFormat="1"/>
    <xf numFmtId="0" fontId="0" fillId="0" borderId="0" xfId="4" applyFont="1"/>
    <xf numFmtId="0" fontId="0" fillId="0" borderId="99" xfId="4" applyFont="1" applyBorder="1"/>
    <xf numFmtId="0" fontId="18" fillId="0" borderId="62" xfId="4" applyBorder="1"/>
    <xf numFmtId="3" fontId="4" fillId="4" borderId="0" xfId="4" applyNumberFormat="1" applyFont="1" applyFill="1" applyAlignment="1">
      <alignment horizontal="center" vertical="center"/>
    </xf>
    <xf numFmtId="3" fontId="7" fillId="0" borderId="0" xfId="4" applyNumberFormat="1" applyFont="1" applyAlignment="1">
      <alignment vertical="center"/>
    </xf>
    <xf numFmtId="166" fontId="0" fillId="0" borderId="29" xfId="4" applyNumberFormat="1" applyFont="1" applyBorder="1"/>
    <xf numFmtId="164" fontId="13" fillId="0" borderId="20" xfId="2" applyFont="1" applyFill="1" applyBorder="1" applyAlignment="1" applyProtection="1"/>
    <xf numFmtId="164" fontId="13" fillId="0" borderId="55" xfId="2" applyFont="1" applyFill="1" applyBorder="1" applyAlignment="1" applyProtection="1"/>
    <xf numFmtId="164" fontId="13" fillId="0" borderId="56" xfId="2" applyFont="1" applyFill="1" applyBorder="1" applyAlignment="1" applyProtection="1"/>
    <xf numFmtId="0" fontId="18" fillId="0" borderId="103" xfId="4" applyBorder="1"/>
    <xf numFmtId="0" fontId="0" fillId="0" borderId="39" xfId="4" applyFont="1" applyBorder="1"/>
    <xf numFmtId="0" fontId="0" fillId="0" borderId="104" xfId="4" applyFont="1" applyBorder="1"/>
    <xf numFmtId="164" fontId="12" fillId="0" borderId="105" xfId="2" applyFont="1" applyFill="1" applyBorder="1" applyAlignment="1" applyProtection="1"/>
    <xf numFmtId="164" fontId="12" fillId="0" borderId="37" xfId="2" applyFont="1" applyFill="1" applyBorder="1" applyAlignment="1" applyProtection="1"/>
    <xf numFmtId="49" fontId="0" fillId="0" borderId="50" xfId="4" applyNumberFormat="1" applyFont="1" applyBorder="1" applyAlignment="1">
      <alignment horizontal="right"/>
    </xf>
    <xf numFmtId="3" fontId="4" fillId="0" borderId="47" xfId="4" applyNumberFormat="1" applyFont="1" applyBorder="1" applyAlignment="1">
      <alignment horizontal="center" vertical="center" wrapText="1"/>
    </xf>
    <xf numFmtId="3" fontId="4" fillId="0" borderId="48" xfId="4" applyNumberFormat="1" applyFont="1" applyBorder="1" applyAlignment="1">
      <alignment horizontal="center" vertical="center" wrapText="1"/>
    </xf>
    <xf numFmtId="3" fontId="4" fillId="0" borderId="49" xfId="4" applyNumberFormat="1" applyFont="1" applyBorder="1" applyAlignment="1">
      <alignment horizontal="center" vertical="center" wrapText="1"/>
    </xf>
    <xf numFmtId="3" fontId="4" fillId="0" borderId="20" xfId="4" applyNumberFormat="1" applyFont="1" applyBorder="1" applyAlignment="1">
      <alignment horizontal="center" vertical="center" wrapText="1"/>
    </xf>
    <xf numFmtId="3" fontId="4" fillId="0" borderId="21" xfId="4" applyNumberFormat="1" applyFont="1" applyBorder="1" applyAlignment="1">
      <alignment horizontal="center" vertical="center" wrapText="1"/>
    </xf>
    <xf numFmtId="3" fontId="4" fillId="0" borderId="22" xfId="4" applyNumberFormat="1" applyFont="1" applyBorder="1" applyAlignment="1">
      <alignment horizontal="center" vertical="center" wrapText="1"/>
    </xf>
    <xf numFmtId="3" fontId="4" fillId="0" borderId="48" xfId="4" applyNumberFormat="1" applyFont="1" applyBorder="1" applyAlignment="1">
      <alignment horizontal="center" vertical="center"/>
    </xf>
    <xf numFmtId="3" fontId="4" fillId="0" borderId="21" xfId="4" applyNumberFormat="1" applyFont="1" applyBorder="1" applyAlignment="1">
      <alignment horizontal="center" vertical="center"/>
    </xf>
    <xf numFmtId="3" fontId="4" fillId="0" borderId="68" xfId="4" applyNumberFormat="1" applyFont="1" applyBorder="1" applyAlignment="1">
      <alignment horizontal="center" vertical="center"/>
    </xf>
    <xf numFmtId="3" fontId="4" fillId="0" borderId="69" xfId="4" applyNumberFormat="1" applyFont="1" applyBorder="1" applyAlignment="1">
      <alignment horizontal="center" vertical="center"/>
    </xf>
    <xf numFmtId="3" fontId="4" fillId="2" borderId="70" xfId="4" applyNumberFormat="1" applyFont="1" applyFill="1" applyBorder="1" applyAlignment="1">
      <alignment horizontal="center" vertical="center"/>
    </xf>
    <xf numFmtId="3" fontId="4" fillId="2" borderId="71" xfId="4" applyNumberFormat="1" applyFont="1" applyFill="1" applyBorder="1" applyAlignment="1">
      <alignment horizontal="center" vertical="center"/>
    </xf>
    <xf numFmtId="3" fontId="4" fillId="0" borderId="72" xfId="4" applyNumberFormat="1" applyFont="1" applyBorder="1" applyAlignment="1">
      <alignment horizontal="center" vertical="center"/>
    </xf>
    <xf numFmtId="0" fontId="2" fillId="0" borderId="2" xfId="4" applyFont="1" applyBorder="1" applyAlignment="1">
      <alignment horizontal="center" vertical="center"/>
    </xf>
    <xf numFmtId="3" fontId="4" fillId="0" borderId="72" xfId="4" applyNumberFormat="1" applyFont="1" applyBorder="1" applyAlignment="1">
      <alignment horizontal="center" vertical="center" wrapText="1"/>
    </xf>
    <xf numFmtId="3" fontId="4" fillId="0" borderId="45" xfId="4" applyNumberFormat="1" applyFont="1" applyBorder="1" applyAlignment="1">
      <alignment horizontal="center" vertical="center" wrapText="1"/>
    </xf>
    <xf numFmtId="3" fontId="4" fillId="0" borderId="45" xfId="4" applyNumberFormat="1" applyFont="1" applyBorder="1" applyAlignment="1">
      <alignment horizontal="center" vertical="center"/>
    </xf>
    <xf numFmtId="3" fontId="4" fillId="0" borderId="73" xfId="4" applyNumberFormat="1" applyFont="1" applyBorder="1" applyAlignment="1">
      <alignment horizontal="center" vertical="center"/>
    </xf>
    <xf numFmtId="3" fontId="4" fillId="4" borderId="45" xfId="4" applyNumberFormat="1" applyFont="1" applyFill="1" applyBorder="1" applyAlignment="1">
      <alignment horizontal="center" vertical="center"/>
    </xf>
    <xf numFmtId="0" fontId="2" fillId="3" borderId="2" xfId="4" applyFont="1" applyFill="1" applyBorder="1" applyAlignment="1">
      <alignment horizontal="center" vertical="center"/>
    </xf>
    <xf numFmtId="3" fontId="3" fillId="2" borderId="27" xfId="4" applyNumberFormat="1" applyFont="1" applyFill="1" applyBorder="1" applyAlignment="1">
      <alignment horizontal="center" vertical="center"/>
    </xf>
    <xf numFmtId="3" fontId="4" fillId="2" borderId="45" xfId="4" applyNumberFormat="1" applyFont="1" applyFill="1" applyBorder="1" applyAlignment="1">
      <alignment horizontal="center" vertical="center"/>
    </xf>
    <xf numFmtId="3" fontId="4" fillId="0" borderId="0" xfId="4" applyNumberFormat="1" applyFont="1" applyAlignment="1">
      <alignment horizontal="center"/>
    </xf>
    <xf numFmtId="3" fontId="3" fillId="0" borderId="74" xfId="4" applyNumberFormat="1" applyFont="1" applyBorder="1" applyAlignment="1">
      <alignment horizontal="center" vertical="center" textRotation="45"/>
    </xf>
    <xf numFmtId="3" fontId="3" fillId="2" borderId="2" xfId="4" applyNumberFormat="1" applyFont="1" applyFill="1" applyBorder="1" applyAlignment="1">
      <alignment horizontal="center" vertical="center" wrapText="1"/>
    </xf>
    <xf numFmtId="3" fontId="6" fillId="0" borderId="75" xfId="4" applyNumberFormat="1" applyFont="1" applyBorder="1" applyAlignment="1">
      <alignment horizontal="left"/>
    </xf>
    <xf numFmtId="3" fontId="3" fillId="0" borderId="0" xfId="4" applyNumberFormat="1" applyFont="1" applyAlignment="1">
      <alignment horizontal="left" vertical="center" wrapText="1"/>
    </xf>
    <xf numFmtId="3" fontId="3" fillId="0" borderId="75" xfId="4" applyNumberFormat="1" applyFont="1" applyBorder="1" applyAlignment="1">
      <alignment horizontal="left" vertical="center" wrapText="1"/>
    </xf>
    <xf numFmtId="3" fontId="3" fillId="2" borderId="74" xfId="4" applyNumberFormat="1" applyFont="1" applyFill="1" applyBorder="1" applyAlignment="1">
      <alignment horizontal="center" vertical="center" wrapText="1"/>
    </xf>
    <xf numFmtId="3" fontId="3" fillId="0" borderId="74" xfId="4" applyNumberFormat="1" applyFont="1" applyBorder="1" applyAlignment="1">
      <alignment vertical="center" wrapText="1"/>
    </xf>
    <xf numFmtId="3" fontId="3" fillId="4" borderId="27" xfId="4" applyNumberFormat="1" applyFont="1" applyFill="1" applyBorder="1" applyAlignment="1">
      <alignment horizontal="center" vertical="center"/>
    </xf>
    <xf numFmtId="3" fontId="3" fillId="4" borderId="2" xfId="4" applyNumberFormat="1" applyFont="1" applyFill="1" applyBorder="1" applyAlignment="1">
      <alignment horizontal="center" vertical="center" wrapText="1"/>
    </xf>
    <xf numFmtId="3" fontId="3" fillId="4" borderId="74" xfId="4" applyNumberFormat="1" applyFont="1" applyFill="1" applyBorder="1" applyAlignment="1">
      <alignment horizontal="center" vertical="center" wrapText="1"/>
    </xf>
    <xf numFmtId="3" fontId="4" fillId="6" borderId="45" xfId="4" applyNumberFormat="1" applyFont="1" applyFill="1" applyBorder="1" applyAlignment="1">
      <alignment horizontal="center" vertical="center"/>
    </xf>
    <xf numFmtId="3" fontId="3" fillId="0" borderId="8" xfId="4" applyNumberFormat="1" applyFont="1" applyBorder="1" applyAlignment="1">
      <alignment horizontal="left" vertical="center" wrapText="1"/>
    </xf>
    <xf numFmtId="3" fontId="3" fillId="0" borderId="24" xfId="4" applyNumberFormat="1" applyFont="1" applyBorder="1" applyAlignment="1">
      <alignment horizontal="left" vertical="center" wrapText="1"/>
    </xf>
    <xf numFmtId="3" fontId="3" fillId="0" borderId="25" xfId="4" applyNumberFormat="1" applyFont="1" applyBorder="1" applyAlignment="1">
      <alignment horizontal="left" vertical="center" wrapText="1"/>
    </xf>
    <xf numFmtId="3" fontId="3" fillId="0" borderId="28" xfId="4" applyNumberFormat="1" applyFont="1" applyBorder="1" applyAlignment="1">
      <alignment horizontal="left" vertical="center" wrapText="1"/>
    </xf>
    <xf numFmtId="170" fontId="4" fillId="0" borderId="45" xfId="4" applyNumberFormat="1" applyFont="1" applyBorder="1" applyAlignment="1">
      <alignment horizontal="center" vertical="center"/>
    </xf>
    <xf numFmtId="0" fontId="2" fillId="0" borderId="12" xfId="4" applyFont="1" applyBorder="1" applyAlignment="1">
      <alignment horizontal="center" vertical="center"/>
    </xf>
    <xf numFmtId="0" fontId="2" fillId="0" borderId="14" xfId="4" applyFont="1" applyBorder="1" applyAlignment="1">
      <alignment horizontal="center" vertical="center"/>
    </xf>
    <xf numFmtId="3" fontId="4" fillId="0" borderId="12" xfId="4" applyNumberFormat="1" applyFont="1" applyBorder="1" applyAlignment="1">
      <alignment horizontal="center" vertical="center" wrapText="1"/>
    </xf>
    <xf numFmtId="3" fontId="4" fillId="0" borderId="12" xfId="4" applyNumberFormat="1" applyFont="1" applyBorder="1" applyAlignment="1">
      <alignment horizontal="center" vertical="center"/>
    </xf>
    <xf numFmtId="0" fontId="2" fillId="0" borderId="47" xfId="4" applyFont="1" applyBorder="1" applyAlignment="1">
      <alignment horizontal="center" vertical="center"/>
    </xf>
    <xf numFmtId="0" fontId="2" fillId="0" borderId="20" xfId="4" applyFont="1" applyBorder="1" applyAlignment="1">
      <alignment horizontal="center" vertical="center"/>
    </xf>
    <xf numFmtId="3" fontId="4" fillId="2" borderId="12" xfId="4" applyNumberFormat="1" applyFont="1" applyFill="1" applyBorder="1" applyAlignment="1">
      <alignment horizontal="center" vertical="center"/>
    </xf>
    <xf numFmtId="3" fontId="4" fillId="6" borderId="31" xfId="4" applyNumberFormat="1" applyFont="1" applyFill="1" applyBorder="1" applyAlignment="1">
      <alignment horizontal="center" vertical="center"/>
    </xf>
    <xf numFmtId="3" fontId="4" fillId="6" borderId="76" xfId="4" applyNumberFormat="1" applyFont="1" applyFill="1" applyBorder="1" applyAlignment="1">
      <alignment horizontal="center" vertical="center"/>
    </xf>
    <xf numFmtId="3" fontId="4" fillId="0" borderId="77" xfId="4" applyNumberFormat="1" applyFont="1" applyBorder="1" applyAlignment="1">
      <alignment horizontal="center" vertical="center"/>
    </xf>
    <xf numFmtId="3" fontId="3" fillId="0" borderId="78" xfId="4" applyNumberFormat="1" applyFont="1" applyBorder="1" applyAlignment="1">
      <alignment horizontal="left" vertical="center" wrapText="1"/>
    </xf>
    <xf numFmtId="3" fontId="3" fillId="0" borderId="79" xfId="4" applyNumberFormat="1" applyFont="1" applyBorder="1" applyAlignment="1">
      <alignment horizontal="left" vertical="center" wrapText="1"/>
    </xf>
    <xf numFmtId="3" fontId="3" fillId="0" borderId="36" xfId="4" applyNumberFormat="1" applyFont="1" applyBorder="1" applyAlignment="1">
      <alignment horizontal="left" vertical="center" wrapText="1"/>
    </xf>
    <xf numFmtId="3" fontId="3" fillId="0" borderId="80" xfId="4" applyNumberFormat="1" applyFont="1" applyBorder="1" applyAlignment="1">
      <alignment horizontal="left" vertical="center" wrapText="1"/>
    </xf>
    <xf numFmtId="3" fontId="3" fillId="0" borderId="81" xfId="4" applyNumberFormat="1" applyFont="1" applyBorder="1" applyAlignment="1">
      <alignment horizontal="center" vertical="center" textRotation="45"/>
    </xf>
    <xf numFmtId="3" fontId="3" fillId="0" borderId="15" xfId="4" applyNumberFormat="1" applyFont="1" applyBorder="1" applyAlignment="1">
      <alignment horizontal="left" vertical="center" wrapText="1"/>
    </xf>
    <xf numFmtId="3" fontId="3" fillId="0" borderId="82" xfId="4" applyNumberFormat="1" applyFont="1" applyBorder="1" applyAlignment="1">
      <alignment horizontal="left" vertical="center" wrapText="1"/>
    </xf>
    <xf numFmtId="3" fontId="3" fillId="2" borderId="81" xfId="4" applyNumberFormat="1" applyFont="1" applyFill="1" applyBorder="1" applyAlignment="1">
      <alignment horizontal="center" vertical="center" wrapText="1"/>
    </xf>
    <xf numFmtId="3" fontId="3" fillId="0" borderId="81" xfId="4" applyNumberFormat="1" applyFont="1" applyBorder="1" applyAlignment="1">
      <alignment vertical="center" wrapText="1"/>
    </xf>
    <xf numFmtId="3" fontId="3" fillId="2" borderId="53" xfId="4" applyNumberFormat="1" applyFont="1" applyFill="1" applyBorder="1" applyAlignment="1">
      <alignment horizontal="center" vertical="center"/>
    </xf>
    <xf numFmtId="3" fontId="3" fillId="0" borderId="47" xfId="4" applyNumberFormat="1" applyFont="1" applyBorder="1" applyAlignment="1">
      <alignment horizontal="left" vertical="center" wrapText="1"/>
    </xf>
    <xf numFmtId="3" fontId="3" fillId="0" borderId="48" xfId="4" applyNumberFormat="1" applyFont="1" applyBorder="1" applyAlignment="1">
      <alignment horizontal="left" vertical="center" wrapText="1"/>
    </xf>
    <xf numFmtId="3" fontId="3" fillId="0" borderId="83" xfId="4" applyNumberFormat="1" applyFont="1" applyBorder="1" applyAlignment="1">
      <alignment horizontal="left" vertical="center" wrapText="1"/>
    </xf>
    <xf numFmtId="3" fontId="3" fillId="0" borderId="84" xfId="4" applyNumberFormat="1" applyFont="1" applyBorder="1" applyAlignment="1">
      <alignment horizontal="left" vertical="center" wrapText="1"/>
    </xf>
    <xf numFmtId="3" fontId="3" fillId="6" borderId="74" xfId="4" applyNumberFormat="1" applyFont="1" applyFill="1" applyBorder="1" applyAlignment="1">
      <alignment horizontal="center" vertical="center" wrapText="1"/>
    </xf>
    <xf numFmtId="3" fontId="4" fillId="4" borderId="12" xfId="4" applyNumberFormat="1" applyFont="1" applyFill="1" applyBorder="1" applyAlignment="1">
      <alignment horizontal="center" vertical="center"/>
    </xf>
    <xf numFmtId="3" fontId="4" fillId="0" borderId="100" xfId="4" applyNumberFormat="1" applyFont="1" applyBorder="1" applyAlignment="1">
      <alignment horizontal="center" vertical="center" wrapText="1"/>
    </xf>
    <xf numFmtId="0" fontId="2" fillId="0" borderId="39" xfId="4" applyFont="1" applyBorder="1" applyAlignment="1">
      <alignment horizontal="center" vertical="center"/>
    </xf>
    <xf numFmtId="0" fontId="2" fillId="0" borderId="101" xfId="4" applyFont="1" applyBorder="1" applyAlignment="1">
      <alignment horizontal="center" vertical="center"/>
    </xf>
    <xf numFmtId="3" fontId="3" fillId="0" borderId="45" xfId="4" applyNumberFormat="1" applyFont="1" applyBorder="1" applyAlignment="1">
      <alignment horizontal="center" vertical="center"/>
    </xf>
    <xf numFmtId="0" fontId="2" fillId="0" borderId="0" xfId="4" applyFont="1" applyAlignment="1">
      <alignment horizontal="center"/>
    </xf>
    <xf numFmtId="3" fontId="3" fillId="0" borderId="0" xfId="4" applyNumberFormat="1" applyFont="1" applyAlignment="1">
      <alignment horizontal="center" vertical="center" wrapText="1"/>
    </xf>
    <xf numFmtId="3" fontId="3" fillId="0" borderId="0" xfId="4" applyNumberFormat="1" applyFont="1" applyAlignment="1">
      <alignment horizontal="center"/>
    </xf>
    <xf numFmtId="3" fontId="4" fillId="0" borderId="31" xfId="4" applyNumberFormat="1" applyFont="1" applyBorder="1" applyAlignment="1">
      <alignment horizontal="center" vertical="center"/>
    </xf>
    <xf numFmtId="3" fontId="4" fillId="0" borderId="76" xfId="4" applyNumberFormat="1" applyFont="1" applyBorder="1" applyAlignment="1">
      <alignment horizontal="center" vertical="center"/>
    </xf>
    <xf numFmtId="3" fontId="4" fillId="0" borderId="85" xfId="4" applyNumberFormat="1" applyFont="1" applyBorder="1" applyAlignment="1">
      <alignment horizontal="center" vertical="center" wrapText="1"/>
    </xf>
    <xf numFmtId="3" fontId="4" fillId="0" borderId="10" xfId="4" applyNumberFormat="1" applyFont="1" applyBorder="1" applyAlignment="1">
      <alignment horizontal="center" vertical="center" wrapText="1"/>
    </xf>
    <xf numFmtId="3" fontId="4" fillId="0" borderId="30" xfId="4" applyNumberFormat="1" applyFont="1" applyBorder="1" applyAlignment="1">
      <alignment horizontal="center" vertical="center" wrapText="1"/>
    </xf>
    <xf numFmtId="3" fontId="4" fillId="0" borderId="86" xfId="4" applyNumberFormat="1" applyFont="1" applyBorder="1" applyAlignment="1">
      <alignment horizontal="center" vertical="center" wrapText="1"/>
    </xf>
    <xf numFmtId="3" fontId="4" fillId="0" borderId="11" xfId="4" applyNumberFormat="1" applyFont="1" applyBorder="1" applyAlignment="1">
      <alignment horizontal="center" vertical="center" wrapText="1"/>
    </xf>
    <xf numFmtId="3" fontId="4" fillId="0" borderId="87" xfId="4" applyNumberFormat="1" applyFont="1" applyBorder="1" applyAlignment="1">
      <alignment horizontal="center" vertical="center" wrapText="1"/>
    </xf>
    <xf numFmtId="3" fontId="4" fillId="4" borderId="68" xfId="4" applyNumberFormat="1" applyFont="1" applyFill="1" applyBorder="1" applyAlignment="1">
      <alignment horizontal="center" vertical="center"/>
    </xf>
    <xf numFmtId="3" fontId="4" fillId="4" borderId="69" xfId="4" applyNumberFormat="1" applyFont="1" applyFill="1" applyBorder="1" applyAlignment="1">
      <alignment horizontal="center" vertical="center"/>
    </xf>
    <xf numFmtId="3" fontId="3" fillId="0" borderId="102" xfId="4" applyNumberFormat="1" applyFont="1" applyBorder="1" applyAlignment="1">
      <alignment horizontal="center" vertical="center"/>
    </xf>
    <xf numFmtId="0" fontId="2" fillId="0" borderId="88" xfId="4" applyFont="1" applyBorder="1" applyAlignment="1">
      <alignment horizontal="center"/>
    </xf>
    <xf numFmtId="0" fontId="2" fillId="0" borderId="89" xfId="4" applyFont="1" applyBorder="1" applyAlignment="1">
      <alignment horizontal="center"/>
    </xf>
    <xf numFmtId="0" fontId="2" fillId="0" borderId="90" xfId="4" applyFont="1" applyBorder="1" applyAlignment="1">
      <alignment horizontal="center"/>
    </xf>
    <xf numFmtId="0" fontId="2" fillId="0" borderId="11" xfId="4" applyFont="1" applyBorder="1" applyAlignment="1">
      <alignment horizontal="center"/>
    </xf>
    <xf numFmtId="0" fontId="2" fillId="0" borderId="91" xfId="4" applyFont="1" applyBorder="1" applyAlignment="1">
      <alignment horizontal="center"/>
    </xf>
    <xf numFmtId="0" fontId="2" fillId="0" borderId="80" xfId="4" applyFont="1" applyBorder="1" applyAlignment="1">
      <alignment horizontal="center"/>
    </xf>
    <xf numFmtId="0" fontId="0" fillId="0" borderId="24" xfId="4" applyFont="1" applyBorder="1" applyAlignment="1">
      <alignment horizontal="center"/>
    </xf>
    <xf numFmtId="0" fontId="2" fillId="7" borderId="92" xfId="4" applyFont="1" applyFill="1" applyBorder="1" applyAlignment="1">
      <alignment horizontal="center"/>
    </xf>
    <xf numFmtId="0" fontId="2" fillId="7" borderId="93" xfId="4" applyFont="1" applyFill="1" applyBorder="1" applyAlignment="1">
      <alignment horizontal="center"/>
    </xf>
    <xf numFmtId="0" fontId="2" fillId="7" borderId="94" xfId="4" applyFont="1" applyFill="1" applyBorder="1" applyAlignment="1">
      <alignment horizontal="center"/>
    </xf>
    <xf numFmtId="0" fontId="2" fillId="7" borderId="95" xfId="4" applyFont="1" applyFill="1" applyBorder="1" applyAlignment="1">
      <alignment horizontal="center"/>
    </xf>
    <xf numFmtId="0" fontId="2" fillId="7" borderId="91" xfId="4" applyFont="1" applyFill="1" applyBorder="1" applyAlignment="1">
      <alignment horizontal="center"/>
    </xf>
    <xf numFmtId="0" fontId="2" fillId="7" borderId="96" xfId="4" applyFont="1" applyFill="1" applyBorder="1" applyAlignment="1">
      <alignment horizontal="center"/>
    </xf>
    <xf numFmtId="0" fontId="2" fillId="7" borderId="15" xfId="4" applyFont="1" applyFill="1" applyBorder="1" applyAlignment="1">
      <alignment horizontal="center"/>
    </xf>
    <xf numFmtId="0" fontId="2" fillId="7" borderId="0" xfId="4" applyFont="1" applyFill="1" applyAlignment="1">
      <alignment horizontal="center"/>
    </xf>
    <xf numFmtId="0" fontId="2" fillId="7" borderId="18" xfId="4" applyFont="1" applyFill="1" applyBorder="1" applyAlignment="1">
      <alignment horizontal="center"/>
    </xf>
    <xf numFmtId="0" fontId="2" fillId="7" borderId="47" xfId="4" applyFont="1" applyFill="1" applyBorder="1" applyAlignment="1">
      <alignment horizontal="center"/>
    </xf>
    <xf numFmtId="0" fontId="2" fillId="7" borderId="48" xfId="4" applyFont="1" applyFill="1" applyBorder="1" applyAlignment="1">
      <alignment horizontal="center"/>
    </xf>
    <xf numFmtId="0" fontId="2" fillId="7" borderId="49" xfId="4" applyFont="1" applyFill="1" applyBorder="1" applyAlignment="1">
      <alignment horizontal="center"/>
    </xf>
    <xf numFmtId="0" fontId="10" fillId="0" borderId="34" xfId="4" applyFont="1" applyBorder="1" applyAlignment="1">
      <alignment horizontal="center"/>
    </xf>
    <xf numFmtId="0" fontId="10" fillId="0" borderId="40" xfId="4" applyFont="1" applyBorder="1" applyAlignment="1">
      <alignment horizontal="center"/>
    </xf>
    <xf numFmtId="0" fontId="10" fillId="0" borderId="38" xfId="4" applyFont="1" applyBorder="1" applyAlignment="1">
      <alignment horizontal="center"/>
    </xf>
    <xf numFmtId="0" fontId="2" fillId="0" borderId="6" xfId="4" applyFont="1" applyBorder="1" applyAlignment="1">
      <alignment horizontal="center"/>
    </xf>
    <xf numFmtId="0" fontId="2" fillId="0" borderId="8" xfId="4" applyFont="1" applyBorder="1" applyAlignment="1">
      <alignment horizontal="center"/>
    </xf>
    <xf numFmtId="0" fontId="2" fillId="7" borderId="97" xfId="4" applyFont="1" applyFill="1" applyBorder="1" applyAlignment="1">
      <alignment horizontal="center"/>
    </xf>
    <xf numFmtId="0" fontId="2" fillId="7" borderId="98" xfId="4" applyFont="1" applyFill="1" applyBorder="1" applyAlignment="1">
      <alignment horizontal="center"/>
    </xf>
    <xf numFmtId="0" fontId="2" fillId="7" borderId="17" xfId="4" applyFont="1" applyFill="1" applyBorder="1" applyAlignment="1">
      <alignment horizontal="center"/>
    </xf>
  </cellXfs>
  <cellStyles count="8">
    <cellStyle name="Moeda" xfId="1" builtinId="4"/>
    <cellStyle name="Moeda 2" xfId="2" xr:uid="{052957C2-97FD-4465-BB2E-DD26A38120A1}"/>
    <cellStyle name="Moeda 2 2" xfId="3" xr:uid="{4E694E9E-25AC-48FC-A642-4F353F18B367}"/>
    <cellStyle name="Normal" xfId="0" builtinId="0"/>
    <cellStyle name="Normal 2" xfId="4" xr:uid="{49CE3240-6378-4D56-9314-E693E4DAA02A}"/>
    <cellStyle name="Separador de milhares 2" xfId="5" xr:uid="{FDEBDF17-E054-46AE-B077-DB2D04B470DF}"/>
    <cellStyle name="Separador de milhares 2 2" xfId="6" xr:uid="{E1D13708-2CCC-4839-AF23-A1B02B8C0210}"/>
    <cellStyle name="Vírgula"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971550</xdr:colOff>
      <xdr:row>64</xdr:row>
      <xdr:rowOff>95250</xdr:rowOff>
    </xdr:from>
    <xdr:to>
      <xdr:col>21</xdr:col>
      <xdr:colOff>257175</xdr:colOff>
      <xdr:row>83</xdr:row>
      <xdr:rowOff>38100</xdr:rowOff>
    </xdr:to>
    <xdr:pic>
      <xdr:nvPicPr>
        <xdr:cNvPr id="4291" name="Imagem 3">
          <a:extLst>
            <a:ext uri="{FF2B5EF4-FFF2-40B4-BE49-F238E27FC236}">
              <a16:creationId xmlns:a16="http://schemas.microsoft.com/office/drawing/2014/main" id="{4D88A376-F0CA-B671-5350-FBD78AA42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20675" y="12049125"/>
          <a:ext cx="914400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87</xdr:row>
      <xdr:rowOff>9525</xdr:rowOff>
    </xdr:from>
    <xdr:to>
      <xdr:col>19</xdr:col>
      <xdr:colOff>57150</xdr:colOff>
      <xdr:row>109</xdr:row>
      <xdr:rowOff>9525</xdr:rowOff>
    </xdr:to>
    <xdr:pic>
      <xdr:nvPicPr>
        <xdr:cNvPr id="4292" name="Imagem 4">
          <a:extLst>
            <a:ext uri="{FF2B5EF4-FFF2-40B4-BE49-F238E27FC236}">
              <a16:creationId xmlns:a16="http://schemas.microsoft.com/office/drawing/2014/main" id="{2E177C8F-1F6B-8D70-BEFE-96B0E5CBD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92125" y="16297275"/>
          <a:ext cx="7553325"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nifer/Leis%20Or&#231;ament&#225;rias/PPA/PPA%202018-2021/PPA%201008/Anexos%20da%20Lei%20do%20PPA-53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enifer/Leis%20Or&#231;ament&#225;rias/PPA/PPA%202018-2021/PPA%201008/Anexos%20da%20Lei%20do%20PPA%20Reuni&#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2"/>
      <sheetName val="Anexo I - Programas"/>
      <sheetName val="Anexo II - Resumo dos Programas"/>
      <sheetName val="Anexo III - Progr-Ação-Fun-Subf"/>
      <sheetName val="Plan1"/>
      <sheetName val="MeioAMB"/>
      <sheetName val="Adminis"/>
      <sheetName val="Desenv"/>
      <sheetName val="Educ"/>
      <sheetName val="Obras"/>
      <sheetName val="Fazenda"/>
      <sheetName val="Saúde"/>
    </sheetNames>
    <sheetDataSet>
      <sheetData sheetId="0"/>
      <sheetData sheetId="1"/>
      <sheetData sheetId="2">
        <row r="5">
          <cell r="B5" t="str">
            <v>Ação Legislativa</v>
          </cell>
        </row>
        <row r="6">
          <cell r="B6" t="str">
            <v>Ivoti Segura</v>
          </cell>
        </row>
        <row r="7">
          <cell r="B7" t="str">
            <v>Supervisão e Coordenação Administrativa</v>
          </cell>
        </row>
        <row r="8">
          <cell r="B8" t="str">
            <v>Gestão Pública Eficiente</v>
          </cell>
        </row>
        <row r="9">
          <cell r="B9" t="str">
            <v>Valorização da Produção Rural</v>
          </cell>
        </row>
        <row r="10">
          <cell r="B10" t="str">
            <v>Promoção do Crescimento</v>
          </cell>
        </row>
        <row r="11">
          <cell r="B11" t="str">
            <v>Desenvolvimento do Turismo</v>
          </cell>
        </row>
        <row r="12">
          <cell r="B12" t="str">
            <v>Desenvolvimento Educacional</v>
          </cell>
        </row>
        <row r="13">
          <cell r="B13" t="str">
            <v>Proteção Social Especial</v>
          </cell>
        </row>
        <row r="14">
          <cell r="B14" t="str">
            <v>Assistência ao Educando</v>
          </cell>
        </row>
        <row r="15">
          <cell r="B15" t="str">
            <v>Desenvolvimento da Cultura</v>
          </cell>
        </row>
        <row r="16">
          <cell r="B16" t="str">
            <v>Promoção do Desporto e Lazer</v>
          </cell>
        </row>
        <row r="17">
          <cell r="B17" t="str">
            <v>Mobilidade Urbana</v>
          </cell>
        </row>
        <row r="18">
          <cell r="B18" t="str">
            <v>Melhoria das Vias Urbanas</v>
          </cell>
        </row>
        <row r="19">
          <cell r="B19" t="str">
            <v>Gestão Ambiental</v>
          </cell>
        </row>
        <row r="20">
          <cell r="B20" t="str">
            <v>Saúde com Qualidade</v>
          </cell>
        </row>
        <row r="21">
          <cell r="B21" t="str">
            <v>Proteção Social Básica</v>
          </cell>
        </row>
        <row r="22">
          <cell r="B22" t="str">
            <v>Gestão dos Serviços de Água</v>
          </cell>
        </row>
        <row r="23">
          <cell r="B23" t="str">
            <v>Manutenção dos Serviços de Água</v>
          </cell>
        </row>
        <row r="24">
          <cell r="B24" t="str">
            <v>RPPS</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e Atividades"/>
      <sheetName val="Programas"/>
      <sheetName val="Receitas"/>
    </sheetNames>
    <sheetDataSet>
      <sheetData sheetId="0">
        <row r="28">
          <cell r="B28" t="str">
            <v xml:space="preserve">CALENDÁRIO DE EVENTOS </v>
          </cell>
        </row>
        <row r="44">
          <cell r="B44" t="str">
            <v>MANUTENÇÃO DO DEPARTAMENTO DE CULTURA</v>
          </cell>
        </row>
        <row r="46">
          <cell r="B46" t="str">
            <v>MANUTENÇÃO DO DEPARTAMENTO DE DESPORTO</v>
          </cell>
        </row>
        <row r="49">
          <cell r="B49" t="str">
            <v>PROGRAMA LAZER UNINDO GERAÇÕES + PROJETOS ESPECIAIS</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CA53-AFC1-49E9-9149-04B64A211BAA}">
  <dimension ref="A1:IV471"/>
  <sheetViews>
    <sheetView topLeftCell="A403" zoomScaleNormal="100" workbookViewId="0">
      <selection activeCell="C433" sqref="C433:E434"/>
    </sheetView>
  </sheetViews>
  <sheetFormatPr defaultRowHeight="12.75" x14ac:dyDescent="0.2"/>
  <cols>
    <col min="1" max="4" width="9.140625" style="1"/>
    <col min="5" max="5" width="19.5703125" style="1" customWidth="1"/>
    <col min="6" max="6" width="15.42578125" style="1" customWidth="1"/>
    <col min="7" max="7" width="15.5703125" style="1" customWidth="1"/>
    <col min="8" max="8" width="16" style="30" customWidth="1"/>
    <col min="9" max="9" width="15.42578125" style="1" customWidth="1"/>
    <col min="10" max="10" width="23.140625" style="1" customWidth="1"/>
    <col min="11" max="16384" width="9.140625" style="1"/>
  </cols>
  <sheetData>
    <row r="1" spans="1:10" x14ac:dyDescent="0.2">
      <c r="A1" s="253" t="s">
        <v>0</v>
      </c>
      <c r="B1" s="253"/>
      <c r="C1" s="253"/>
      <c r="D1" s="253"/>
      <c r="E1" s="253"/>
      <c r="F1" s="253"/>
      <c r="G1" s="253"/>
      <c r="H1" s="253"/>
      <c r="I1" s="253"/>
      <c r="J1" s="253"/>
    </row>
    <row r="2" spans="1:10" ht="12.75" customHeight="1" x14ac:dyDescent="0.2">
      <c r="A2" s="254" t="s">
        <v>268</v>
      </c>
      <c r="B2" s="254"/>
      <c r="C2" s="254"/>
      <c r="D2" s="254"/>
      <c r="E2" s="254"/>
      <c r="F2" s="254"/>
      <c r="G2" s="254"/>
      <c r="H2" s="254"/>
      <c r="I2" s="254"/>
      <c r="J2" s="254"/>
    </row>
    <row r="3" spans="1:10" x14ac:dyDescent="0.2">
      <c r="A3" s="255" t="s">
        <v>1</v>
      </c>
      <c r="B3" s="255"/>
      <c r="C3" s="255"/>
      <c r="D3" s="255"/>
      <c r="E3" s="255"/>
      <c r="F3" s="255"/>
      <c r="G3" s="255"/>
      <c r="H3" s="255"/>
      <c r="I3" s="255"/>
      <c r="J3" s="255"/>
    </row>
    <row r="4" spans="1:10" ht="13.5" customHeight="1" x14ac:dyDescent="0.2">
      <c r="A4" s="210" t="s">
        <v>2</v>
      </c>
      <c r="B4" s="210"/>
      <c r="C4" s="211" t="s">
        <v>3</v>
      </c>
      <c r="D4" s="211"/>
      <c r="E4" s="211"/>
      <c r="F4" s="211"/>
      <c r="G4" s="211"/>
      <c r="H4" s="211"/>
      <c r="I4" s="211"/>
      <c r="J4" s="211"/>
    </row>
    <row r="5" spans="1:10" ht="12.75" customHeight="1" x14ac:dyDescent="0.2">
      <c r="A5" s="210" t="s">
        <v>4</v>
      </c>
      <c r="B5" s="210"/>
      <c r="C5" s="211" t="s">
        <v>334</v>
      </c>
      <c r="D5" s="211"/>
      <c r="E5" s="211"/>
      <c r="F5" s="211"/>
      <c r="G5" s="211"/>
      <c r="H5" s="211"/>
      <c r="I5" s="211"/>
      <c r="J5" s="211"/>
    </row>
    <row r="6" spans="1:10" x14ac:dyDescent="0.2">
      <c r="A6" s="2"/>
      <c r="B6" s="2"/>
      <c r="C6" s="211"/>
      <c r="D6" s="211"/>
      <c r="E6" s="211"/>
      <c r="F6" s="211"/>
      <c r="G6" s="211"/>
      <c r="H6" s="211"/>
      <c r="I6" s="211"/>
      <c r="J6" s="211"/>
    </row>
    <row r="7" spans="1:10" x14ac:dyDescent="0.2">
      <c r="A7" s="2"/>
      <c r="B7" s="2"/>
      <c r="C7" s="211"/>
      <c r="D7" s="211"/>
      <c r="E7" s="211"/>
      <c r="F7" s="211"/>
      <c r="G7" s="211"/>
      <c r="H7" s="211"/>
      <c r="I7" s="211"/>
      <c r="J7" s="211"/>
    </row>
    <row r="8" spans="1:10" x14ac:dyDescent="0.2">
      <c r="A8" s="2"/>
      <c r="B8" s="2"/>
      <c r="C8" s="211"/>
      <c r="D8" s="211"/>
      <c r="E8" s="211"/>
      <c r="F8" s="211"/>
      <c r="G8" s="211"/>
      <c r="H8" s="211"/>
      <c r="I8" s="211"/>
      <c r="J8" s="211"/>
    </row>
    <row r="9" spans="1:10" x14ac:dyDescent="0.2">
      <c r="A9" s="2"/>
      <c r="B9" s="2"/>
      <c r="C9" s="211"/>
      <c r="D9" s="211"/>
      <c r="E9" s="211"/>
      <c r="F9" s="211"/>
      <c r="G9" s="211"/>
      <c r="H9" s="211"/>
      <c r="I9" s="211"/>
      <c r="J9" s="211"/>
    </row>
    <row r="10" spans="1:10" ht="12.75" customHeight="1" x14ac:dyDescent="0.2">
      <c r="A10" s="216" t="s">
        <v>5</v>
      </c>
      <c r="B10" s="216"/>
      <c r="C10" s="216"/>
      <c r="D10" s="216"/>
      <c r="E10" s="100"/>
      <c r="F10" s="4">
        <v>2026</v>
      </c>
      <c r="G10" s="4">
        <v>2027</v>
      </c>
      <c r="H10" s="4">
        <v>2028</v>
      </c>
      <c r="I10" s="4">
        <v>2029</v>
      </c>
      <c r="J10" s="102" t="s">
        <v>6</v>
      </c>
    </row>
    <row r="11" spans="1:10" ht="12.75" customHeight="1" x14ac:dyDescent="0.2">
      <c r="A11" s="213" t="s">
        <v>7</v>
      </c>
      <c r="B11" s="213"/>
      <c r="C11" s="213"/>
      <c r="D11" s="6"/>
      <c r="E11" s="7"/>
      <c r="F11" s="101">
        <f>F15+F17</f>
        <v>1100000</v>
      </c>
      <c r="G11" s="101">
        <f>G15+G17</f>
        <v>800000</v>
      </c>
      <c r="H11" s="101">
        <f>H15+H17</f>
        <v>850000</v>
      </c>
      <c r="I11" s="101">
        <f>I15+I17</f>
        <v>900000</v>
      </c>
      <c r="J11" s="103">
        <f>SUM(F11:I11)</f>
        <v>3650000</v>
      </c>
    </row>
    <row r="12" spans="1:10" x14ac:dyDescent="0.2">
      <c r="A12" s="10"/>
      <c r="B12" s="11"/>
      <c r="C12" s="206"/>
      <c r="D12" s="206"/>
      <c r="E12" s="206"/>
      <c r="F12" s="12"/>
      <c r="G12" s="12"/>
      <c r="H12" s="12"/>
      <c r="I12" s="12"/>
      <c r="J12" s="13"/>
    </row>
    <row r="13" spans="1:10" ht="12.75" customHeight="1" x14ac:dyDescent="0.2">
      <c r="A13" s="207" t="s">
        <v>8</v>
      </c>
      <c r="B13" s="215" t="s">
        <v>9</v>
      </c>
      <c r="C13" s="215" t="s">
        <v>10</v>
      </c>
      <c r="D13" s="215"/>
      <c r="E13" s="215"/>
      <c r="F13" s="197">
        <f>F10</f>
        <v>2026</v>
      </c>
      <c r="G13" s="197">
        <v>2019</v>
      </c>
      <c r="H13" s="197">
        <v>2020</v>
      </c>
      <c r="I13" s="197">
        <v>2021</v>
      </c>
      <c r="J13" s="214" t="s">
        <v>11</v>
      </c>
    </row>
    <row r="14" spans="1:10" x14ac:dyDescent="0.2">
      <c r="A14" s="207"/>
      <c r="B14" s="215"/>
      <c r="C14" s="215"/>
      <c r="D14" s="215"/>
      <c r="E14" s="215"/>
      <c r="F14" s="197"/>
      <c r="G14" s="197"/>
      <c r="H14" s="197"/>
      <c r="I14" s="197"/>
      <c r="J14" s="214"/>
    </row>
    <row r="15" spans="1:10" ht="12.75" customHeight="1" thickBot="1" x14ac:dyDescent="0.25">
      <c r="A15" s="14" t="s">
        <v>12</v>
      </c>
      <c r="B15" s="197">
        <v>2001</v>
      </c>
      <c r="C15" s="199" t="s">
        <v>269</v>
      </c>
      <c r="D15" s="199"/>
      <c r="E15" s="199"/>
      <c r="F15" s="252">
        <f>1100000-F17</f>
        <v>1090000</v>
      </c>
      <c r="G15" s="200">
        <f>'Anexo IV -Projetos e Ativid '!E6</f>
        <v>790000</v>
      </c>
      <c r="H15" s="200">
        <f>'Anexo IV -Projetos e Ativid '!F6</f>
        <v>840000</v>
      </c>
      <c r="I15" s="200">
        <f>'Anexo IV -Projetos e Ativid '!G6</f>
        <v>890000</v>
      </c>
      <c r="J15" s="202">
        <f>SUM(F15:I15)</f>
        <v>3610000</v>
      </c>
    </row>
    <row r="16" spans="1:10" ht="13.5" thickBot="1" x14ac:dyDescent="0.25">
      <c r="A16" s="104"/>
      <c r="B16" s="223"/>
      <c r="C16" s="199"/>
      <c r="D16" s="199"/>
      <c r="E16" s="199"/>
      <c r="F16" s="252"/>
      <c r="G16" s="200"/>
      <c r="H16" s="200"/>
      <c r="I16" s="200"/>
      <c r="J16" s="248"/>
    </row>
    <row r="17" spans="1:10" ht="13.5" thickBot="1" x14ac:dyDescent="0.25">
      <c r="A17" s="18" t="s">
        <v>12</v>
      </c>
      <c r="B17" s="250"/>
      <c r="C17" s="249" t="s">
        <v>333</v>
      </c>
      <c r="D17" s="199"/>
      <c r="E17" s="199"/>
      <c r="F17" s="252">
        <v>10000</v>
      </c>
      <c r="G17" s="252">
        <v>10000</v>
      </c>
      <c r="H17" s="252">
        <v>10000</v>
      </c>
      <c r="I17" s="266">
        <v>10000</v>
      </c>
      <c r="J17" s="264">
        <f>SUM(F17:I18)</f>
        <v>40000</v>
      </c>
    </row>
    <row r="18" spans="1:10" ht="13.5" thickBot="1" x14ac:dyDescent="0.25">
      <c r="A18" s="172"/>
      <c r="B18" s="251"/>
      <c r="C18" s="249"/>
      <c r="D18" s="199"/>
      <c r="E18" s="199"/>
      <c r="F18" s="252"/>
      <c r="G18" s="252"/>
      <c r="H18" s="252"/>
      <c r="I18" s="266"/>
      <c r="J18" s="265"/>
    </row>
    <row r="19" spans="1:10" ht="13.5" thickBot="1" x14ac:dyDescent="0.25"/>
    <row r="20" spans="1:10" ht="13.5" customHeight="1" x14ac:dyDescent="0.2">
      <c r="A20" s="210" t="s">
        <v>2</v>
      </c>
      <c r="B20" s="210"/>
      <c r="C20" s="211" t="s">
        <v>44</v>
      </c>
      <c r="D20" s="211"/>
      <c r="E20" s="211"/>
      <c r="F20" s="211"/>
      <c r="G20" s="211"/>
      <c r="H20" s="211"/>
      <c r="I20" s="211"/>
      <c r="J20" s="211"/>
    </row>
    <row r="21" spans="1:10" ht="12.75" customHeight="1" x14ac:dyDescent="0.2">
      <c r="A21" s="210" t="s">
        <v>4</v>
      </c>
      <c r="B21" s="210"/>
      <c r="C21" s="211" t="s">
        <v>310</v>
      </c>
      <c r="D21" s="211"/>
      <c r="E21" s="211"/>
      <c r="F21" s="211"/>
      <c r="G21" s="211"/>
      <c r="H21" s="211"/>
      <c r="I21" s="211"/>
      <c r="J21" s="211"/>
    </row>
    <row r="22" spans="1:10" x14ac:dyDescent="0.2">
      <c r="A22" s="2"/>
      <c r="B22" s="2"/>
      <c r="C22" s="211"/>
      <c r="D22" s="211"/>
      <c r="E22" s="211"/>
      <c r="F22" s="211"/>
      <c r="G22" s="211"/>
      <c r="H22" s="211"/>
      <c r="I22" s="211"/>
      <c r="J22" s="211"/>
    </row>
    <row r="23" spans="1:10" x14ac:dyDescent="0.2">
      <c r="A23" s="2"/>
      <c r="B23" s="2"/>
      <c r="C23" s="211"/>
      <c r="D23" s="211"/>
      <c r="E23" s="211"/>
      <c r="F23" s="211"/>
      <c r="G23" s="211"/>
      <c r="H23" s="211"/>
      <c r="I23" s="211"/>
      <c r="J23" s="211"/>
    </row>
    <row r="24" spans="1:10" x14ac:dyDescent="0.2">
      <c r="A24" s="2"/>
      <c r="B24" s="2"/>
      <c r="C24" s="211"/>
      <c r="D24" s="211"/>
      <c r="E24" s="211"/>
      <c r="F24" s="211"/>
      <c r="G24" s="211"/>
      <c r="H24" s="211"/>
      <c r="I24" s="211"/>
      <c r="J24" s="211"/>
    </row>
    <row r="25" spans="1:10" x14ac:dyDescent="0.2">
      <c r="A25" s="2"/>
      <c r="B25" s="2"/>
      <c r="C25" s="211"/>
      <c r="D25" s="211"/>
      <c r="E25" s="211"/>
      <c r="F25" s="211"/>
      <c r="G25" s="211"/>
      <c r="H25" s="211"/>
      <c r="I25" s="211"/>
      <c r="J25" s="211"/>
    </row>
    <row r="26" spans="1:10" ht="12.75" customHeight="1" x14ac:dyDescent="0.2">
      <c r="A26" s="247" t="s">
        <v>5</v>
      </c>
      <c r="B26" s="247"/>
      <c r="C26" s="247"/>
      <c r="D26" s="247"/>
      <c r="E26" s="3"/>
      <c r="F26" s="4">
        <v>2026</v>
      </c>
      <c r="G26" s="4">
        <v>2027</v>
      </c>
      <c r="H26" s="34">
        <v>2028</v>
      </c>
      <c r="I26" s="4">
        <v>2029</v>
      </c>
      <c r="J26" s="5" t="s">
        <v>6</v>
      </c>
    </row>
    <row r="27" spans="1:10" ht="12.75" customHeight="1" x14ac:dyDescent="0.2">
      <c r="A27" s="213" t="s">
        <v>7</v>
      </c>
      <c r="B27" s="213"/>
      <c r="C27" s="213"/>
      <c r="D27" s="6"/>
      <c r="E27" s="7"/>
      <c r="F27" s="8">
        <f>F31+F33+F35</f>
        <v>1182000</v>
      </c>
      <c r="G27" s="8">
        <f>G31+G33+G35</f>
        <v>1102000</v>
      </c>
      <c r="H27" s="105">
        <f>H31+H33+H35</f>
        <v>1122000</v>
      </c>
      <c r="I27" s="8">
        <f>I31+I33+I35</f>
        <v>1092000</v>
      </c>
      <c r="J27" s="9">
        <f>SUM(F27:I27)</f>
        <v>4498000</v>
      </c>
    </row>
    <row r="28" spans="1:10" x14ac:dyDescent="0.2">
      <c r="A28" s="10"/>
      <c r="B28" s="11"/>
      <c r="C28" s="206"/>
      <c r="D28" s="206"/>
      <c r="E28" s="206"/>
      <c r="F28" s="12"/>
      <c r="G28" s="12"/>
      <c r="H28" s="35"/>
      <c r="I28" s="12"/>
      <c r="J28" s="13"/>
    </row>
    <row r="29" spans="1:10" ht="12.75" customHeight="1" x14ac:dyDescent="0.2">
      <c r="A29" s="207" t="s">
        <v>8</v>
      </c>
      <c r="B29" s="208" t="s">
        <v>9</v>
      </c>
      <c r="C29" s="208" t="s">
        <v>10</v>
      </c>
      <c r="D29" s="208"/>
      <c r="E29" s="208"/>
      <c r="F29" s="197">
        <f>F26</f>
        <v>2026</v>
      </c>
      <c r="G29" s="197">
        <f>G26</f>
        <v>2027</v>
      </c>
      <c r="H29" s="203">
        <f>H26</f>
        <v>2028</v>
      </c>
      <c r="I29" s="197">
        <f>I26</f>
        <v>2029</v>
      </c>
      <c r="J29" s="204" t="s">
        <v>11</v>
      </c>
    </row>
    <row r="30" spans="1:10" x14ac:dyDescent="0.2">
      <c r="A30" s="207"/>
      <c r="B30" s="208"/>
      <c r="C30" s="208"/>
      <c r="D30" s="208"/>
      <c r="E30" s="208"/>
      <c r="F30" s="197"/>
      <c r="G30" s="197"/>
      <c r="H30" s="203"/>
      <c r="I30" s="197"/>
      <c r="J30" s="204"/>
    </row>
    <row r="31" spans="1:10" ht="12.75" customHeight="1" x14ac:dyDescent="0.2">
      <c r="A31" s="14" t="s">
        <v>12</v>
      </c>
      <c r="B31" s="197">
        <v>2004</v>
      </c>
      <c r="C31" s="199" t="s">
        <v>13</v>
      </c>
      <c r="D31" s="199"/>
      <c r="E31" s="199"/>
      <c r="F31" s="200">
        <f>'Anexo IV -Projetos e Ativid '!D13</f>
        <v>820000</v>
      </c>
      <c r="G31" s="200">
        <f>'Anexo IV -Projetos e Ativid '!E13</f>
        <v>840000</v>
      </c>
      <c r="H31" s="200">
        <f>'Anexo IV -Projetos e Ativid '!F13</f>
        <v>860000</v>
      </c>
      <c r="I31" s="200">
        <f>'Anexo IV -Projetos e Ativid '!G13</f>
        <v>880000</v>
      </c>
      <c r="J31" s="205">
        <f>SUM(F31:I31)</f>
        <v>3400000</v>
      </c>
    </row>
    <row r="32" spans="1:10" x14ac:dyDescent="0.2">
      <c r="A32" s="15"/>
      <c r="B32" s="197"/>
      <c r="C32" s="199"/>
      <c r="D32" s="199"/>
      <c r="E32" s="199"/>
      <c r="F32" s="200"/>
      <c r="G32" s="200"/>
      <c r="H32" s="200"/>
      <c r="I32" s="200"/>
      <c r="J32" s="205"/>
    </row>
    <row r="33" spans="1:10" x14ac:dyDescent="0.2">
      <c r="A33" s="14" t="s">
        <v>12</v>
      </c>
      <c r="B33" s="197">
        <v>2003</v>
      </c>
      <c r="C33" s="199" t="s">
        <v>309</v>
      </c>
      <c r="D33" s="199"/>
      <c r="E33" s="199"/>
      <c r="F33" s="200">
        <f>'Anexo IV -Projetos e Ativid '!D12</f>
        <v>350000</v>
      </c>
      <c r="G33" s="200">
        <f>'Anexo IV -Projetos e Ativid '!E12</f>
        <v>250000</v>
      </c>
      <c r="H33" s="200">
        <f>'Anexo IV -Projetos e Ativid '!F12</f>
        <v>250000</v>
      </c>
      <c r="I33" s="200">
        <f>'Anexo IV -Projetos e Ativid '!G12</f>
        <v>200000</v>
      </c>
      <c r="J33" s="205">
        <f>SUM(F33:I33)</f>
        <v>1050000</v>
      </c>
    </row>
    <row r="34" spans="1:10" x14ac:dyDescent="0.2">
      <c r="A34" s="15"/>
      <c r="B34" s="197"/>
      <c r="C34" s="199"/>
      <c r="D34" s="199"/>
      <c r="E34" s="199"/>
      <c r="F34" s="200"/>
      <c r="G34" s="200"/>
      <c r="H34" s="200"/>
      <c r="I34" s="200"/>
      <c r="J34" s="205"/>
    </row>
    <row r="35" spans="1:10" ht="12.75" customHeight="1" x14ac:dyDescent="0.2">
      <c r="A35" s="14" t="s">
        <v>14</v>
      </c>
      <c r="B35" s="197">
        <v>3017</v>
      </c>
      <c r="C35" s="199" t="s">
        <v>15</v>
      </c>
      <c r="D35" s="199"/>
      <c r="E35" s="199"/>
      <c r="F35" s="200">
        <f>'Anexo IV -Projetos e Ativid '!D14</f>
        <v>12000</v>
      </c>
      <c r="G35" s="200">
        <f>'Anexo IV -Projetos e Ativid '!E14</f>
        <v>12000</v>
      </c>
      <c r="H35" s="200">
        <f>'Anexo IV -Projetos e Ativid '!F14</f>
        <v>12000</v>
      </c>
      <c r="I35" s="200">
        <f>'Anexo IV -Projetos e Ativid '!G14</f>
        <v>12000</v>
      </c>
      <c r="J35" s="205">
        <f>SUM(F35:I35)</f>
        <v>48000</v>
      </c>
    </row>
    <row r="36" spans="1:10" x14ac:dyDescent="0.2">
      <c r="A36" s="15"/>
      <c r="B36" s="197"/>
      <c r="C36" s="199"/>
      <c r="D36" s="199"/>
      <c r="E36" s="199"/>
      <c r="F36" s="200"/>
      <c r="G36" s="200"/>
      <c r="H36" s="200"/>
      <c r="I36" s="200"/>
      <c r="J36" s="205"/>
    </row>
    <row r="37" spans="1:10" ht="13.5" thickBot="1" x14ac:dyDescent="0.25">
      <c r="A37" s="16"/>
      <c r="B37" s="16"/>
      <c r="C37" s="17"/>
      <c r="D37" s="17"/>
      <c r="E37" s="17"/>
      <c r="F37" s="18"/>
      <c r="G37" s="18"/>
      <c r="H37" s="36"/>
      <c r="I37" s="18"/>
      <c r="J37" s="18"/>
    </row>
    <row r="38" spans="1:10" ht="13.5" customHeight="1" thickBot="1" x14ac:dyDescent="0.25">
      <c r="A38" s="210" t="s">
        <v>2</v>
      </c>
      <c r="B38" s="210"/>
      <c r="C38" s="211" t="str">
        <f>'[1]Anexo II - Resumo dos Programas'!B7</f>
        <v>Supervisão e Coordenação Administrativa</v>
      </c>
      <c r="D38" s="211"/>
      <c r="E38" s="211"/>
      <c r="F38" s="211"/>
      <c r="G38" s="211"/>
      <c r="H38" s="211"/>
      <c r="I38" s="211"/>
      <c r="J38" s="211"/>
    </row>
    <row r="39" spans="1:10" ht="12.75" customHeight="1" x14ac:dyDescent="0.2">
      <c r="A39" s="210" t="s">
        <v>4</v>
      </c>
      <c r="B39" s="210"/>
      <c r="C39" s="211" t="s">
        <v>16</v>
      </c>
      <c r="D39" s="211"/>
      <c r="E39" s="211"/>
      <c r="F39" s="211"/>
      <c r="G39" s="211"/>
      <c r="H39" s="211"/>
      <c r="I39" s="211"/>
      <c r="J39" s="211"/>
    </row>
    <row r="40" spans="1:10" x14ac:dyDescent="0.2">
      <c r="A40" s="2"/>
      <c r="B40" s="2"/>
      <c r="C40" s="211"/>
      <c r="D40" s="211"/>
      <c r="E40" s="211"/>
      <c r="F40" s="211"/>
      <c r="G40" s="211"/>
      <c r="H40" s="211"/>
      <c r="I40" s="211"/>
      <c r="J40" s="211"/>
    </row>
    <row r="41" spans="1:10" x14ac:dyDescent="0.2">
      <c r="A41" s="2"/>
      <c r="B41" s="2"/>
      <c r="C41" s="211"/>
      <c r="D41" s="211"/>
      <c r="E41" s="211"/>
      <c r="F41" s="211"/>
      <c r="G41" s="211"/>
      <c r="H41" s="211"/>
      <c r="I41" s="211"/>
      <c r="J41" s="211"/>
    </row>
    <row r="42" spans="1:10" x14ac:dyDescent="0.2">
      <c r="A42" s="2"/>
      <c r="B42" s="2"/>
      <c r="C42" s="211"/>
      <c r="D42" s="211"/>
      <c r="E42" s="211"/>
      <c r="F42" s="211"/>
      <c r="G42" s="211"/>
      <c r="H42" s="211"/>
      <c r="I42" s="211"/>
      <c r="J42" s="211"/>
    </row>
    <row r="43" spans="1:10" x14ac:dyDescent="0.2">
      <c r="A43" s="2"/>
      <c r="B43" s="2"/>
      <c r="C43" s="211"/>
      <c r="D43" s="211"/>
      <c r="E43" s="211"/>
      <c r="F43" s="211"/>
      <c r="G43" s="211"/>
      <c r="H43" s="211"/>
      <c r="I43" s="211"/>
      <c r="J43" s="211"/>
    </row>
    <row r="44" spans="1:10" ht="12.75" customHeight="1" x14ac:dyDescent="0.2">
      <c r="A44" s="212" t="s">
        <v>5</v>
      </c>
      <c r="B44" s="212"/>
      <c r="C44" s="212"/>
      <c r="D44" s="212"/>
      <c r="E44" s="3"/>
      <c r="F44" s="4">
        <v>2026</v>
      </c>
      <c r="G44" s="4">
        <v>2027</v>
      </c>
      <c r="H44" s="34">
        <v>2028</v>
      </c>
      <c r="I44" s="4">
        <v>2029</v>
      </c>
      <c r="J44" s="5" t="s">
        <v>6</v>
      </c>
    </row>
    <row r="45" spans="1:10" ht="12.75" customHeight="1" x14ac:dyDescent="0.2">
      <c r="A45" s="213" t="s">
        <v>7</v>
      </c>
      <c r="B45" s="213"/>
      <c r="C45" s="213"/>
      <c r="D45" s="6"/>
      <c r="E45" s="7"/>
      <c r="F45" s="8">
        <f>F49+F51+F53+F55+F57+F59+F61</f>
        <v>15195000</v>
      </c>
      <c r="G45" s="8">
        <f>G49+G51+G53+G55+G57+G59+G61</f>
        <v>15670000</v>
      </c>
      <c r="H45" s="8">
        <f>H49+H51+H53+H55+H57+H59+H61</f>
        <v>16145000</v>
      </c>
      <c r="I45" s="8">
        <f>I49+I51+I53+I55+I57+I59+I61</f>
        <v>16620000</v>
      </c>
      <c r="J45" s="9">
        <f>SUM(F45:I45)</f>
        <v>63630000</v>
      </c>
    </row>
    <row r="46" spans="1:10" x14ac:dyDescent="0.2">
      <c r="A46" s="10"/>
      <c r="B46" s="11"/>
      <c r="C46" s="206"/>
      <c r="D46" s="206"/>
      <c r="E46" s="206"/>
      <c r="F46" s="12"/>
      <c r="G46" s="12"/>
      <c r="H46" s="35"/>
      <c r="I46" s="12"/>
      <c r="J46" s="13"/>
    </row>
    <row r="47" spans="1:10" ht="12.75" customHeight="1" x14ac:dyDescent="0.2">
      <c r="A47" s="207" t="s">
        <v>8</v>
      </c>
      <c r="B47" s="208" t="s">
        <v>9</v>
      </c>
      <c r="C47" s="208" t="s">
        <v>10</v>
      </c>
      <c r="D47" s="208"/>
      <c r="E47" s="208"/>
      <c r="F47" s="197">
        <f>F44</f>
        <v>2026</v>
      </c>
      <c r="G47" s="197">
        <f>G44</f>
        <v>2027</v>
      </c>
      <c r="H47" s="203">
        <f>H44</f>
        <v>2028</v>
      </c>
      <c r="I47" s="197">
        <f>I44</f>
        <v>2029</v>
      </c>
      <c r="J47" s="204" t="s">
        <v>11</v>
      </c>
    </row>
    <row r="48" spans="1:10" x14ac:dyDescent="0.2">
      <c r="A48" s="207"/>
      <c r="B48" s="208"/>
      <c r="C48" s="208"/>
      <c r="D48" s="208"/>
      <c r="E48" s="208"/>
      <c r="F48" s="197"/>
      <c r="G48" s="197"/>
      <c r="H48" s="203"/>
      <c r="I48" s="197"/>
      <c r="J48" s="204"/>
    </row>
    <row r="49" spans="1:10" ht="13.5" thickBot="1" x14ac:dyDescent="0.25">
      <c r="A49" s="14" t="s">
        <v>12</v>
      </c>
      <c r="B49" s="197">
        <v>2002</v>
      </c>
      <c r="C49" s="199" t="s">
        <v>192</v>
      </c>
      <c r="D49" s="199"/>
      <c r="E49" s="199"/>
      <c r="F49" s="200">
        <f>'Anexo IV -Projetos e Ativid '!D11</f>
        <v>1210000</v>
      </c>
      <c r="G49" s="200">
        <f>'Anexo IV -Projetos e Ativid '!E11</f>
        <v>1260000</v>
      </c>
      <c r="H49" s="200">
        <f>'Anexo IV -Projetos e Ativid '!F11</f>
        <v>1310000</v>
      </c>
      <c r="I49" s="200">
        <f>'Anexo IV -Projetos e Ativid '!G11</f>
        <v>1360000</v>
      </c>
      <c r="J49" s="205">
        <f>SUM(F49:I49)</f>
        <v>5140000</v>
      </c>
    </row>
    <row r="50" spans="1:10" ht="13.5" thickBot="1" x14ac:dyDescent="0.25">
      <c r="A50" s="15"/>
      <c r="B50" s="197"/>
      <c r="C50" s="199"/>
      <c r="D50" s="199"/>
      <c r="E50" s="199"/>
      <c r="F50" s="200"/>
      <c r="G50" s="200"/>
      <c r="H50" s="200"/>
      <c r="I50" s="200"/>
      <c r="J50" s="205"/>
    </row>
    <row r="51" spans="1:10" ht="13.5" thickBot="1" x14ac:dyDescent="0.25">
      <c r="A51" s="14" t="s">
        <v>12</v>
      </c>
      <c r="B51" s="197">
        <v>2007</v>
      </c>
      <c r="C51" s="199" t="s">
        <v>193</v>
      </c>
      <c r="D51" s="199"/>
      <c r="E51" s="199"/>
      <c r="F51" s="200">
        <f>'Anexo IV -Projetos e Ativid '!D18</f>
        <v>3680000</v>
      </c>
      <c r="G51" s="200">
        <f>'Anexo IV -Projetos e Ativid '!E18</f>
        <v>3810000</v>
      </c>
      <c r="H51" s="200">
        <f>'Anexo IV -Projetos e Ativid '!F18</f>
        <v>3940000</v>
      </c>
      <c r="I51" s="200">
        <f>'Anexo IV -Projetos e Ativid '!G18</f>
        <v>4070000</v>
      </c>
      <c r="J51" s="205">
        <f>SUM(F51:I51)</f>
        <v>15500000</v>
      </c>
    </row>
    <row r="52" spans="1:10" ht="13.5" thickBot="1" x14ac:dyDescent="0.25">
      <c r="A52" s="15"/>
      <c r="B52" s="197"/>
      <c r="C52" s="199"/>
      <c r="D52" s="199"/>
      <c r="E52" s="199"/>
      <c r="F52" s="200"/>
      <c r="G52" s="200"/>
      <c r="H52" s="200"/>
      <c r="I52" s="200"/>
      <c r="J52" s="205"/>
    </row>
    <row r="53" spans="1:10" ht="13.5" thickBot="1" x14ac:dyDescent="0.25">
      <c r="A53" s="14" t="s">
        <v>12</v>
      </c>
      <c r="B53" s="197">
        <v>2011</v>
      </c>
      <c r="C53" s="199" t="s">
        <v>200</v>
      </c>
      <c r="D53" s="199"/>
      <c r="E53" s="199"/>
      <c r="F53" s="200">
        <f>'Anexo IV -Projetos e Ativid '!D30</f>
        <v>955000</v>
      </c>
      <c r="G53" s="200">
        <f>'Anexo IV -Projetos e Ativid '!E30</f>
        <v>1010000</v>
      </c>
      <c r="H53" s="200">
        <f>'Anexo IV -Projetos e Ativid '!F30</f>
        <v>1065000</v>
      </c>
      <c r="I53" s="200">
        <f>'Anexo IV -Projetos e Ativid '!G30</f>
        <v>1120000</v>
      </c>
      <c r="J53" s="205">
        <f>SUM(F53:I53)</f>
        <v>4150000</v>
      </c>
    </row>
    <row r="54" spans="1:10" ht="13.5" thickBot="1" x14ac:dyDescent="0.25">
      <c r="A54" s="15"/>
      <c r="B54" s="197"/>
      <c r="C54" s="199"/>
      <c r="D54" s="199"/>
      <c r="E54" s="199"/>
      <c r="F54" s="200"/>
      <c r="G54" s="200"/>
      <c r="H54" s="200"/>
      <c r="I54" s="200"/>
      <c r="J54" s="205"/>
    </row>
    <row r="55" spans="1:10" ht="13.5" thickBot="1" x14ac:dyDescent="0.25">
      <c r="A55" s="14" t="s">
        <v>12</v>
      </c>
      <c r="B55" s="197">
        <v>2041</v>
      </c>
      <c r="C55" s="199" t="s">
        <v>228</v>
      </c>
      <c r="D55" s="199"/>
      <c r="E55" s="199"/>
      <c r="F55" s="200">
        <f>'Anexo IV -Projetos e Ativid '!D61</f>
        <v>7250000</v>
      </c>
      <c r="G55" s="200">
        <f>'Anexo IV -Projetos e Ativid '!E61</f>
        <v>7400000</v>
      </c>
      <c r="H55" s="200">
        <f>'Anexo IV -Projetos e Ativid '!F61</f>
        <v>7550000</v>
      </c>
      <c r="I55" s="200">
        <f>'Anexo IV -Projetos e Ativid '!G61</f>
        <v>7700000</v>
      </c>
      <c r="J55" s="205">
        <f>SUM(F55:I55)</f>
        <v>29900000</v>
      </c>
    </row>
    <row r="56" spans="1:10" ht="13.5" thickBot="1" x14ac:dyDescent="0.25">
      <c r="A56" s="15"/>
      <c r="B56" s="197"/>
      <c r="C56" s="199"/>
      <c r="D56" s="199"/>
      <c r="E56" s="199"/>
      <c r="F56" s="200"/>
      <c r="G56" s="200"/>
      <c r="H56" s="200"/>
      <c r="I56" s="200"/>
      <c r="J56" s="205"/>
    </row>
    <row r="57" spans="1:10" ht="13.5" thickBot="1" x14ac:dyDescent="0.25">
      <c r="A57" s="14" t="s">
        <v>12</v>
      </c>
      <c r="B57" s="197">
        <v>2057</v>
      </c>
      <c r="C57" s="199" t="s">
        <v>240</v>
      </c>
      <c r="D57" s="199"/>
      <c r="E57" s="199"/>
      <c r="F57" s="196">
        <f>'Anexo IV -Projetos e Ativid '!D83</f>
        <v>1540000</v>
      </c>
      <c r="G57" s="196">
        <f>'Anexo IV -Projetos e Ativid '!E83</f>
        <v>1580000</v>
      </c>
      <c r="H57" s="196">
        <f>'Anexo IV -Projetos e Ativid '!F83</f>
        <v>1620000</v>
      </c>
      <c r="I57" s="196">
        <f>'Anexo IV -Projetos e Ativid '!G83</f>
        <v>1660000</v>
      </c>
      <c r="J57" s="205">
        <f>SUM(F57:I57)</f>
        <v>6400000</v>
      </c>
    </row>
    <row r="58" spans="1:10" ht="13.5" thickBot="1" x14ac:dyDescent="0.25">
      <c r="A58" s="15"/>
      <c r="B58" s="197"/>
      <c r="C58" s="199"/>
      <c r="D58" s="199"/>
      <c r="E58" s="199"/>
      <c r="F58" s="196"/>
      <c r="G58" s="196"/>
      <c r="H58" s="196"/>
      <c r="I58" s="196"/>
      <c r="J58" s="205"/>
    </row>
    <row r="59" spans="1:10" ht="12" customHeight="1" thickBot="1" x14ac:dyDescent="0.25">
      <c r="A59" s="14" t="s">
        <v>12</v>
      </c>
      <c r="B59" s="197">
        <v>2093</v>
      </c>
      <c r="C59" s="198" t="str">
        <f>'Anexo IV -Projetos e Ativid '!C84</f>
        <v>MANUTENÇÃO DA ADMINISTRAÇÃO TRIBUTÁRIA</v>
      </c>
      <c r="D59" s="198"/>
      <c r="E59" s="198"/>
      <c r="F59" s="196">
        <f>'Anexo IV -Projetos e Ativid '!D84</f>
        <v>280000</v>
      </c>
      <c r="G59" s="196">
        <f>'Anexo IV -Projetos e Ativid '!E84</f>
        <v>310000</v>
      </c>
      <c r="H59" s="196">
        <f>'Anexo IV -Projetos e Ativid '!F84</f>
        <v>340000</v>
      </c>
      <c r="I59" s="196">
        <f>'Anexo IV -Projetos e Ativid '!G84</f>
        <v>370000</v>
      </c>
      <c r="J59" s="205">
        <f>SUM(F59:I59)</f>
        <v>1300000</v>
      </c>
    </row>
    <row r="60" spans="1:10" ht="15.75" customHeight="1" thickBot="1" x14ac:dyDescent="0.25">
      <c r="A60" s="15"/>
      <c r="B60" s="197"/>
      <c r="C60" s="198"/>
      <c r="D60" s="198"/>
      <c r="E60" s="198"/>
      <c r="F60" s="196"/>
      <c r="G60" s="196"/>
      <c r="H60" s="196"/>
      <c r="I60" s="196"/>
      <c r="J60" s="205"/>
    </row>
    <row r="61" spans="1:10" ht="15.75" customHeight="1" thickBot="1" x14ac:dyDescent="0.25">
      <c r="A61" s="14" t="s">
        <v>12</v>
      </c>
      <c r="B61" s="197">
        <v>2136</v>
      </c>
      <c r="C61" s="198" t="str">
        <f>'Anexo IV -Projetos e Ativid '!C19</f>
        <v>MANUTENÇÃO DO CONTROLE INTERNO</v>
      </c>
      <c r="D61" s="198"/>
      <c r="E61" s="198"/>
      <c r="F61" s="196">
        <f>'Anexo IV -Projetos e Ativid '!D19</f>
        <v>280000</v>
      </c>
      <c r="G61" s="196">
        <f>'Anexo IV -Projetos e Ativid '!E19</f>
        <v>300000</v>
      </c>
      <c r="H61" s="196">
        <f>'Anexo IV -Projetos e Ativid '!F19</f>
        <v>320000</v>
      </c>
      <c r="I61" s="196">
        <f>'Anexo IV -Projetos e Ativid '!G19</f>
        <v>340000</v>
      </c>
      <c r="J61" s="205">
        <f>SUM(F61:I61)</f>
        <v>1240000</v>
      </c>
    </row>
    <row r="62" spans="1:10" ht="15.75" customHeight="1" thickBot="1" x14ac:dyDescent="0.25">
      <c r="A62" s="15"/>
      <c r="B62" s="197"/>
      <c r="C62" s="198"/>
      <c r="D62" s="198"/>
      <c r="E62" s="198"/>
      <c r="F62" s="196"/>
      <c r="G62" s="196"/>
      <c r="H62" s="196"/>
      <c r="I62" s="196"/>
      <c r="J62" s="205"/>
    </row>
    <row r="63" spans="1:10" ht="15.75" customHeight="1" thickBot="1" x14ac:dyDescent="0.25">
      <c r="A63" s="16"/>
      <c r="B63" s="16"/>
      <c r="C63" s="17"/>
      <c r="D63" s="17"/>
      <c r="E63" s="17"/>
      <c r="F63" s="18"/>
      <c r="G63" s="18"/>
      <c r="H63" s="1"/>
    </row>
    <row r="64" spans="1:10" ht="13.5" customHeight="1" thickBot="1" x14ac:dyDescent="0.25">
      <c r="A64" s="210" t="s">
        <v>2</v>
      </c>
      <c r="B64" s="210"/>
      <c r="C64" s="211" t="s">
        <v>46</v>
      </c>
      <c r="D64" s="211"/>
      <c r="E64" s="211"/>
      <c r="F64" s="211"/>
      <c r="G64" s="211"/>
      <c r="H64" s="211"/>
      <c r="I64" s="211"/>
      <c r="J64" s="211"/>
    </row>
    <row r="65" spans="1:10" ht="12.75" customHeight="1" thickBot="1" x14ac:dyDescent="0.25">
      <c r="A65" s="210" t="s">
        <v>4</v>
      </c>
      <c r="B65" s="210"/>
      <c r="C65" s="211" t="s">
        <v>17</v>
      </c>
      <c r="D65" s="211"/>
      <c r="E65" s="211"/>
      <c r="F65" s="211"/>
      <c r="G65" s="211"/>
      <c r="H65" s="211"/>
      <c r="I65" s="211"/>
      <c r="J65" s="211"/>
    </row>
    <row r="66" spans="1:10" ht="13.5" thickBot="1" x14ac:dyDescent="0.25">
      <c r="A66" s="2"/>
      <c r="B66" s="2"/>
      <c r="C66" s="211"/>
      <c r="D66" s="211"/>
      <c r="E66" s="211"/>
      <c r="F66" s="211"/>
      <c r="G66" s="211"/>
      <c r="H66" s="211"/>
      <c r="I66" s="211"/>
      <c r="J66" s="211"/>
    </row>
    <row r="67" spans="1:10" x14ac:dyDescent="0.2">
      <c r="A67" s="2"/>
      <c r="B67" s="2"/>
      <c r="C67" s="211"/>
      <c r="D67" s="211"/>
      <c r="E67" s="211"/>
      <c r="F67" s="211"/>
      <c r="G67" s="211"/>
      <c r="H67" s="211"/>
      <c r="I67" s="211"/>
      <c r="J67" s="211"/>
    </row>
    <row r="68" spans="1:10" x14ac:dyDescent="0.2">
      <c r="A68" s="2"/>
      <c r="B68" s="2"/>
      <c r="C68" s="211"/>
      <c r="D68" s="211"/>
      <c r="E68" s="211"/>
      <c r="F68" s="211"/>
      <c r="G68" s="211"/>
      <c r="H68" s="211"/>
      <c r="I68" s="211"/>
      <c r="J68" s="211"/>
    </row>
    <row r="69" spans="1:10" x14ac:dyDescent="0.2">
      <c r="A69" s="2"/>
      <c r="B69" s="2"/>
      <c r="C69" s="211"/>
      <c r="D69" s="211"/>
      <c r="E69" s="211"/>
      <c r="F69" s="211"/>
      <c r="G69" s="211"/>
      <c r="H69" s="211"/>
      <c r="I69" s="211"/>
      <c r="J69" s="211"/>
    </row>
    <row r="70" spans="1:10" ht="12.75" customHeight="1" x14ac:dyDescent="0.2">
      <c r="A70" s="212" t="s">
        <v>5</v>
      </c>
      <c r="B70" s="212"/>
      <c r="C70" s="212"/>
      <c r="D70" s="212"/>
      <c r="E70" s="3"/>
      <c r="F70" s="4">
        <v>2026</v>
      </c>
      <c r="G70" s="4">
        <v>2027</v>
      </c>
      <c r="H70" s="34">
        <v>2028</v>
      </c>
      <c r="I70" s="4">
        <v>2029</v>
      </c>
      <c r="J70" s="5" t="s">
        <v>6</v>
      </c>
    </row>
    <row r="71" spans="1:10" ht="12.75" customHeight="1" x14ac:dyDescent="0.2">
      <c r="A71" s="213" t="s">
        <v>7</v>
      </c>
      <c r="B71" s="213"/>
      <c r="C71" s="213"/>
      <c r="D71" s="6"/>
      <c r="E71" s="7"/>
      <c r="F71" s="8">
        <f>SUM(F75:F91)</f>
        <v>1422500</v>
      </c>
      <c r="G71" s="8">
        <f>SUM(G75:G91)</f>
        <v>917500</v>
      </c>
      <c r="H71" s="8">
        <f>SUM(H75:H91)</f>
        <v>797500</v>
      </c>
      <c r="I71" s="8">
        <f>SUM(I75:I91)</f>
        <v>817500</v>
      </c>
      <c r="J71" s="9">
        <f>SUM(F71:I71)</f>
        <v>3955000</v>
      </c>
    </row>
    <row r="72" spans="1:10" x14ac:dyDescent="0.2">
      <c r="A72" s="10"/>
      <c r="B72" s="11"/>
      <c r="C72" s="206"/>
      <c r="D72" s="206"/>
      <c r="E72" s="206"/>
      <c r="F72" s="12"/>
      <c r="G72" s="12"/>
      <c r="H72" s="35"/>
      <c r="I72" s="12"/>
      <c r="J72" s="13"/>
    </row>
    <row r="73" spans="1:10" ht="12.75" customHeight="1" x14ac:dyDescent="0.2">
      <c r="A73" s="207" t="s">
        <v>8</v>
      </c>
      <c r="B73" s="208" t="s">
        <v>9</v>
      </c>
      <c r="C73" s="208" t="s">
        <v>10</v>
      </c>
      <c r="D73" s="208"/>
      <c r="E73" s="208"/>
      <c r="F73" s="197">
        <f>F70</f>
        <v>2026</v>
      </c>
      <c r="G73" s="197">
        <f>G70</f>
        <v>2027</v>
      </c>
      <c r="H73" s="203">
        <f>H70</f>
        <v>2028</v>
      </c>
      <c r="I73" s="197">
        <f>I70</f>
        <v>2029</v>
      </c>
      <c r="J73" s="204" t="s">
        <v>11</v>
      </c>
    </row>
    <row r="74" spans="1:10" x14ac:dyDescent="0.2">
      <c r="A74" s="207"/>
      <c r="B74" s="208"/>
      <c r="C74" s="208"/>
      <c r="D74" s="208"/>
      <c r="E74" s="208"/>
      <c r="F74" s="197"/>
      <c r="G74" s="197"/>
      <c r="H74" s="203"/>
      <c r="I74" s="197"/>
      <c r="J74" s="204"/>
    </row>
    <row r="75" spans="1:10" x14ac:dyDescent="0.2">
      <c r="A75" s="14" t="s">
        <v>14</v>
      </c>
      <c r="B75" s="197">
        <v>3024</v>
      </c>
      <c r="C75" s="199" t="str">
        <f>'Anexo IV -Projetos e Ativid '!C23</f>
        <v>IMPLANTAÇÃO DE ENERGIA FOTOVOLTAICA</v>
      </c>
      <c r="D75" s="199"/>
      <c r="E75" s="199"/>
      <c r="F75" s="200">
        <f>'Anexo IV -Projetos e Ativid '!D23</f>
        <v>10000</v>
      </c>
      <c r="G75" s="200">
        <f>'Anexo IV -Projetos e Ativid '!E23</f>
        <v>10000</v>
      </c>
      <c r="H75" s="200">
        <f>'Anexo IV -Projetos e Ativid '!F23</f>
        <v>10000</v>
      </c>
      <c r="I75" s="200">
        <f>'Anexo IV -Projetos e Ativid '!G23</f>
        <v>10000</v>
      </c>
      <c r="J75" s="200">
        <f>SUM(F75:I75)</f>
        <v>40000</v>
      </c>
    </row>
    <row r="76" spans="1:10" ht="13.5" thickBot="1" x14ac:dyDescent="0.25">
      <c r="A76" s="15"/>
      <c r="B76" s="197"/>
      <c r="C76" s="199"/>
      <c r="D76" s="199"/>
      <c r="E76" s="199"/>
      <c r="F76" s="200"/>
      <c r="G76" s="200"/>
      <c r="H76" s="200"/>
      <c r="I76" s="200"/>
      <c r="J76" s="200"/>
    </row>
    <row r="77" spans="1:10" ht="13.5" thickBot="1" x14ac:dyDescent="0.25">
      <c r="A77" s="14" t="s">
        <v>14</v>
      </c>
      <c r="B77" s="197">
        <v>3003</v>
      </c>
      <c r="C77" s="199" t="s">
        <v>194</v>
      </c>
      <c r="D77" s="199"/>
      <c r="E77" s="199"/>
      <c r="F77" s="200">
        <f>'Anexo IV -Projetos e Ativid '!D20</f>
        <v>10000</v>
      </c>
      <c r="G77" s="200">
        <f>'Anexo IV -Projetos e Ativid '!E20</f>
        <v>10000</v>
      </c>
      <c r="H77" s="200">
        <f>'Anexo IV -Projetos e Ativid '!F20</f>
        <v>10000</v>
      </c>
      <c r="I77" s="200">
        <f>'Anexo IV -Projetos e Ativid '!G20</f>
        <v>10000</v>
      </c>
      <c r="J77" s="200">
        <f>SUM(F77:I77)</f>
        <v>40000</v>
      </c>
    </row>
    <row r="78" spans="1:10" ht="13.5" thickBot="1" x14ac:dyDescent="0.25">
      <c r="A78" s="15"/>
      <c r="B78" s="197"/>
      <c r="C78" s="199"/>
      <c r="D78" s="199"/>
      <c r="E78" s="199"/>
      <c r="F78" s="200"/>
      <c r="G78" s="200"/>
      <c r="H78" s="200"/>
      <c r="I78" s="200"/>
      <c r="J78" s="200"/>
    </row>
    <row r="79" spans="1:10" ht="13.5" thickBot="1" x14ac:dyDescent="0.25">
      <c r="A79" s="14" t="s">
        <v>14</v>
      </c>
      <c r="B79" s="197">
        <v>3020</v>
      </c>
      <c r="C79" s="199" t="s">
        <v>195</v>
      </c>
      <c r="D79" s="199"/>
      <c r="E79" s="199"/>
      <c r="F79" s="200">
        <f>'Anexo IV -Projetos e Ativid '!D21</f>
        <v>462500</v>
      </c>
      <c r="G79" s="200">
        <f>'Anexo IV -Projetos e Ativid '!E21</f>
        <v>167500</v>
      </c>
      <c r="H79" s="200">
        <f>'Anexo IV -Projetos e Ativid '!F21</f>
        <v>187500</v>
      </c>
      <c r="I79" s="200">
        <f>'Anexo IV -Projetos e Ativid '!G21</f>
        <v>207500</v>
      </c>
      <c r="J79" s="200">
        <f>SUM(F79:I79)</f>
        <v>1025000</v>
      </c>
    </row>
    <row r="80" spans="1:10" ht="13.5" thickBot="1" x14ac:dyDescent="0.25">
      <c r="A80" s="15"/>
      <c r="B80" s="197"/>
      <c r="C80" s="199"/>
      <c r="D80" s="199"/>
      <c r="E80" s="199"/>
      <c r="F80" s="200"/>
      <c r="G80" s="200"/>
      <c r="H80" s="200"/>
      <c r="I80" s="200"/>
      <c r="J80" s="200"/>
    </row>
    <row r="81" spans="1:10" ht="12.75" customHeight="1" thickBot="1" x14ac:dyDescent="0.25">
      <c r="A81" s="14" t="s">
        <v>14</v>
      </c>
      <c r="B81" s="197">
        <v>3020</v>
      </c>
      <c r="C81" s="199" t="s">
        <v>18</v>
      </c>
      <c r="D81" s="199"/>
      <c r="E81" s="199"/>
      <c r="F81" s="200">
        <f>'Anexo IV -Projetos e Ativid '!D55+'Anexo IV -Projetos e Ativid '!D56+'Anexo IV -Projetos e Ativid '!D57</f>
        <v>230000</v>
      </c>
      <c r="G81" s="200">
        <f>'Anexo IV -Projetos e Ativid '!E55+'Anexo IV -Projetos e Ativid '!E56+'Anexo IV -Projetos e Ativid '!E57</f>
        <v>30000</v>
      </c>
      <c r="H81" s="200">
        <f>'Anexo IV -Projetos e Ativid '!F55+'Anexo IV -Projetos e Ativid '!F56+'Anexo IV -Projetos e Ativid '!F57</f>
        <v>30000</v>
      </c>
      <c r="I81" s="200">
        <f>'Anexo IV -Projetos e Ativid '!G55+'Anexo IV -Projetos e Ativid '!G56+'Anexo IV -Projetos e Ativid '!G57</f>
        <v>30000</v>
      </c>
      <c r="J81" s="200">
        <f>SUM(F81:I81)</f>
        <v>320000</v>
      </c>
    </row>
    <row r="82" spans="1:10" ht="13.5" thickBot="1" x14ac:dyDescent="0.25">
      <c r="A82" s="15"/>
      <c r="B82" s="197"/>
      <c r="C82" s="199"/>
      <c r="D82" s="199"/>
      <c r="E82" s="199"/>
      <c r="F82" s="200"/>
      <c r="G82" s="200"/>
      <c r="H82" s="200"/>
      <c r="I82" s="200"/>
      <c r="J82" s="200"/>
    </row>
    <row r="83" spans="1:10" ht="13.5" thickBot="1" x14ac:dyDescent="0.25">
      <c r="A83" s="14" t="s">
        <v>14</v>
      </c>
      <c r="B83" s="197">
        <v>3021</v>
      </c>
      <c r="C83" s="199" t="s">
        <v>196</v>
      </c>
      <c r="D83" s="199"/>
      <c r="E83" s="199"/>
      <c r="F83" s="200">
        <f>'Anexo IV -Projetos e Ativid '!D22</f>
        <v>230000</v>
      </c>
      <c r="G83" s="200">
        <f>'Anexo IV -Projetos e Ativid '!E22</f>
        <v>300000</v>
      </c>
      <c r="H83" s="200">
        <f>'Anexo IV -Projetos e Ativid '!F22</f>
        <v>250000</v>
      </c>
      <c r="I83" s="200">
        <f>'Anexo IV -Projetos e Ativid '!G22</f>
        <v>250000</v>
      </c>
      <c r="J83" s="200">
        <f>SUM(F83:I83)</f>
        <v>1030000</v>
      </c>
    </row>
    <row r="84" spans="1:10" ht="13.5" thickBot="1" x14ac:dyDescent="0.25">
      <c r="A84" s="15"/>
      <c r="B84" s="197"/>
      <c r="C84" s="199"/>
      <c r="D84" s="199"/>
      <c r="E84" s="199"/>
      <c r="F84" s="200"/>
      <c r="G84" s="200"/>
      <c r="H84" s="200"/>
      <c r="I84" s="200"/>
      <c r="J84" s="200"/>
    </row>
    <row r="85" spans="1:10" ht="13.5" thickBot="1" x14ac:dyDescent="0.25">
      <c r="A85" s="14" t="s">
        <v>12</v>
      </c>
      <c r="B85" s="197">
        <v>2059</v>
      </c>
      <c r="C85" s="199" t="s">
        <v>287</v>
      </c>
      <c r="D85" s="199"/>
      <c r="E85" s="199"/>
      <c r="F85" s="200">
        <f>'Anexo IV -Projetos e Ativid '!D85</f>
        <v>50000</v>
      </c>
      <c r="G85" s="200">
        <f>'Anexo IV -Projetos e Ativid '!E85</f>
        <v>50000</v>
      </c>
      <c r="H85" s="200">
        <f>'Anexo IV -Projetos e Ativid '!F85</f>
        <v>50000</v>
      </c>
      <c r="I85" s="200">
        <f>'Anexo IV -Projetos e Ativid '!G85</f>
        <v>50000</v>
      </c>
      <c r="J85" s="200">
        <f>SUM(F85:I85)</f>
        <v>200000</v>
      </c>
    </row>
    <row r="86" spans="1:10" ht="13.5" thickBot="1" x14ac:dyDescent="0.25">
      <c r="A86" s="15"/>
      <c r="B86" s="197"/>
      <c r="C86" s="199"/>
      <c r="D86" s="199"/>
      <c r="E86" s="199"/>
      <c r="F86" s="200"/>
      <c r="G86" s="200"/>
      <c r="H86" s="200"/>
      <c r="I86" s="200"/>
      <c r="J86" s="200"/>
    </row>
    <row r="87" spans="1:10" ht="13.5" thickBot="1" x14ac:dyDescent="0.25">
      <c r="A87" s="14" t="s">
        <v>14</v>
      </c>
      <c r="B87" s="197">
        <v>3025</v>
      </c>
      <c r="C87" s="199" t="str">
        <f>'Anexo IV -Projetos e Ativid '!C24</f>
        <v>GESTÃO DE INFRAESTRUTURA DE TI</v>
      </c>
      <c r="D87" s="199"/>
      <c r="E87" s="199"/>
      <c r="F87" s="200">
        <f>'Anexo IV -Projetos e Ativid '!D24</f>
        <v>300000</v>
      </c>
      <c r="G87" s="200">
        <f>'Anexo IV -Projetos e Ativid '!E24</f>
        <v>240000</v>
      </c>
      <c r="H87" s="200">
        <f>'Anexo IV -Projetos e Ativid '!F24</f>
        <v>150000</v>
      </c>
      <c r="I87" s="200">
        <f>'Anexo IV -Projetos e Ativid '!G24</f>
        <v>150000</v>
      </c>
      <c r="J87" s="200">
        <f>SUM(F87:I87)</f>
        <v>840000</v>
      </c>
    </row>
    <row r="88" spans="1:10" ht="13.5" thickBot="1" x14ac:dyDescent="0.25">
      <c r="A88" s="15"/>
      <c r="B88" s="197"/>
      <c r="C88" s="199"/>
      <c r="D88" s="199"/>
      <c r="E88" s="199"/>
      <c r="F88" s="200"/>
      <c r="G88" s="200"/>
      <c r="H88" s="200"/>
      <c r="I88" s="200"/>
      <c r="J88" s="200"/>
    </row>
    <row r="89" spans="1:10" ht="13.5" thickBot="1" x14ac:dyDescent="0.25">
      <c r="A89" s="14" t="s">
        <v>12</v>
      </c>
      <c r="B89" s="197">
        <v>2096</v>
      </c>
      <c r="C89" s="199" t="str">
        <f>'Anexo IV -Projetos e Ativid '!C25</f>
        <v>DESENVOLVIMENTO PROFISSIONAL SERVIDOR</v>
      </c>
      <c r="D89" s="199"/>
      <c r="E89" s="199"/>
      <c r="F89" s="200">
        <f>'Anexo IV -Projetos e Ativid '!D25</f>
        <v>30000</v>
      </c>
      <c r="G89" s="200">
        <f>'Anexo IV -Projetos e Ativid '!E25</f>
        <v>10000</v>
      </c>
      <c r="H89" s="200">
        <f>'Anexo IV -Projetos e Ativid '!F25</f>
        <v>10000</v>
      </c>
      <c r="I89" s="200">
        <f>'Anexo IV -Projetos e Ativid '!G25</f>
        <v>10000</v>
      </c>
      <c r="J89" s="200">
        <f>SUM(F89:I89)</f>
        <v>60000</v>
      </c>
    </row>
    <row r="90" spans="1:10" ht="13.5" thickBot="1" x14ac:dyDescent="0.25">
      <c r="A90" s="15"/>
      <c r="B90" s="197"/>
      <c r="C90" s="199"/>
      <c r="D90" s="199"/>
      <c r="E90" s="199"/>
      <c r="F90" s="200"/>
      <c r="G90" s="200"/>
      <c r="H90" s="200"/>
      <c r="I90" s="200"/>
      <c r="J90" s="200"/>
    </row>
    <row r="91" spans="1:10" ht="13.5" thickBot="1" x14ac:dyDescent="0.25">
      <c r="A91" s="18" t="s">
        <v>12</v>
      </c>
      <c r="B91" s="197">
        <v>4042</v>
      </c>
      <c r="C91" s="199" t="s">
        <v>338</v>
      </c>
      <c r="D91" s="199"/>
      <c r="E91" s="199"/>
      <c r="F91" s="200">
        <f>'Anexo IV -Projetos e Ativid '!D26</f>
        <v>100000</v>
      </c>
      <c r="G91" s="200">
        <f>'Anexo IV -Projetos e Ativid '!E26</f>
        <v>100000</v>
      </c>
      <c r="H91" s="200">
        <f>'Anexo IV -Projetos e Ativid '!F26</f>
        <v>100000</v>
      </c>
      <c r="I91" s="200">
        <f>'Anexo IV -Projetos e Ativid '!G26</f>
        <v>100000</v>
      </c>
      <c r="J91" s="200">
        <f>SUM(F91:I91)</f>
        <v>400000</v>
      </c>
    </row>
    <row r="92" spans="1:10" ht="13.5" thickBot="1" x14ac:dyDescent="0.25">
      <c r="A92" s="131"/>
      <c r="B92" s="197"/>
      <c r="C92" s="199"/>
      <c r="D92" s="199"/>
      <c r="E92" s="199"/>
      <c r="F92" s="200"/>
      <c r="G92" s="200"/>
      <c r="H92" s="200"/>
      <c r="I92" s="200"/>
      <c r="J92" s="200"/>
    </row>
    <row r="93" spans="1:10" ht="13.5" thickBot="1" x14ac:dyDescent="0.25"/>
    <row r="94" spans="1:10" ht="13.5" customHeight="1" x14ac:dyDescent="0.2">
      <c r="A94" s="210" t="s">
        <v>2</v>
      </c>
      <c r="B94" s="210"/>
      <c r="C94" s="211" t="str">
        <f>'[1]Anexo II - Resumo dos Programas'!B9</f>
        <v>Valorização da Produção Rural</v>
      </c>
      <c r="D94" s="211"/>
      <c r="E94" s="211"/>
      <c r="F94" s="211"/>
      <c r="G94" s="211"/>
      <c r="H94" s="211"/>
      <c r="I94" s="211"/>
      <c r="J94" s="211"/>
    </row>
    <row r="95" spans="1:10" ht="12.75" customHeight="1" x14ac:dyDescent="0.2">
      <c r="A95" s="210" t="s">
        <v>4</v>
      </c>
      <c r="B95" s="210"/>
      <c r="C95" s="211" t="s">
        <v>19</v>
      </c>
      <c r="D95" s="211"/>
      <c r="E95" s="211"/>
      <c r="F95" s="211"/>
      <c r="G95" s="211"/>
      <c r="H95" s="211"/>
      <c r="I95" s="211"/>
      <c r="J95" s="211"/>
    </row>
    <row r="96" spans="1:10" x14ac:dyDescent="0.2">
      <c r="A96" s="2"/>
      <c r="B96" s="2"/>
      <c r="C96" s="211"/>
      <c r="D96" s="211"/>
      <c r="E96" s="211"/>
      <c r="F96" s="211"/>
      <c r="G96" s="211"/>
      <c r="H96" s="211"/>
      <c r="I96" s="211"/>
      <c r="J96" s="211"/>
    </row>
    <row r="97" spans="1:10" x14ac:dyDescent="0.2">
      <c r="A97" s="2"/>
      <c r="B97" s="2"/>
      <c r="C97" s="211"/>
      <c r="D97" s="211"/>
      <c r="E97" s="211"/>
      <c r="F97" s="211"/>
      <c r="G97" s="211"/>
      <c r="H97" s="211"/>
      <c r="I97" s="211"/>
      <c r="J97" s="211"/>
    </row>
    <row r="98" spans="1:10" x14ac:dyDescent="0.2">
      <c r="A98" s="2"/>
      <c r="B98" s="2"/>
      <c r="C98" s="211"/>
      <c r="D98" s="211"/>
      <c r="E98" s="211"/>
      <c r="F98" s="211"/>
      <c r="G98" s="211"/>
      <c r="H98" s="211"/>
      <c r="I98" s="211"/>
      <c r="J98" s="211"/>
    </row>
    <row r="99" spans="1:10" x14ac:dyDescent="0.2">
      <c r="A99" s="2"/>
      <c r="B99" s="2"/>
      <c r="C99" s="211"/>
      <c r="D99" s="211"/>
      <c r="E99" s="211"/>
      <c r="F99" s="211"/>
      <c r="G99" s="211"/>
      <c r="H99" s="211"/>
      <c r="I99" s="211"/>
      <c r="J99" s="211"/>
    </row>
    <row r="100" spans="1:10" ht="12.75" customHeight="1" x14ac:dyDescent="0.2">
      <c r="A100" s="212" t="s">
        <v>5</v>
      </c>
      <c r="B100" s="212"/>
      <c r="C100" s="212"/>
      <c r="D100" s="212"/>
      <c r="E100" s="3"/>
      <c r="F100" s="4">
        <v>2026</v>
      </c>
      <c r="G100" s="4">
        <v>2027</v>
      </c>
      <c r="H100" s="34">
        <v>2028</v>
      </c>
      <c r="I100" s="4">
        <v>2029</v>
      </c>
      <c r="J100" s="5" t="s">
        <v>6</v>
      </c>
    </row>
    <row r="101" spans="1:10" ht="12.75" customHeight="1" x14ac:dyDescent="0.2">
      <c r="A101" s="213" t="s">
        <v>7</v>
      </c>
      <c r="B101" s="213"/>
      <c r="C101" s="213"/>
      <c r="D101" s="6"/>
      <c r="E101" s="7"/>
      <c r="F101" s="8">
        <f>F105+F109+F111</f>
        <v>1150000</v>
      </c>
      <c r="G101" s="8">
        <f>G105+G109+G111</f>
        <v>1200000</v>
      </c>
      <c r="H101" s="105">
        <f>H105+H109+H111</f>
        <v>1250000</v>
      </c>
      <c r="I101" s="8">
        <f>I105+I109+I111</f>
        <v>1300000</v>
      </c>
      <c r="J101" s="9">
        <f>SUM(F101:I101)</f>
        <v>4900000</v>
      </c>
    </row>
    <row r="102" spans="1:10" x14ac:dyDescent="0.2">
      <c r="A102" s="10"/>
      <c r="B102" s="11"/>
      <c r="C102" s="206"/>
      <c r="D102" s="206"/>
      <c r="E102" s="206"/>
      <c r="F102" s="12"/>
      <c r="G102" s="12"/>
      <c r="H102" s="35"/>
      <c r="I102" s="12"/>
      <c r="J102" s="13"/>
    </row>
    <row r="103" spans="1:10" ht="12.75" customHeight="1" x14ac:dyDescent="0.2">
      <c r="A103" s="207" t="s">
        <v>8</v>
      </c>
      <c r="B103" s="208" t="s">
        <v>9</v>
      </c>
      <c r="C103" s="208" t="s">
        <v>10</v>
      </c>
      <c r="D103" s="208"/>
      <c r="E103" s="208"/>
      <c r="F103" s="197">
        <f>F100</f>
        <v>2026</v>
      </c>
      <c r="G103" s="197">
        <f>G100</f>
        <v>2027</v>
      </c>
      <c r="H103" s="203">
        <f>H100</f>
        <v>2028</v>
      </c>
      <c r="I103" s="197">
        <f>I100</f>
        <v>2029</v>
      </c>
      <c r="J103" s="204" t="s">
        <v>11</v>
      </c>
    </row>
    <row r="104" spans="1:10" x14ac:dyDescent="0.2">
      <c r="A104" s="207"/>
      <c r="B104" s="208"/>
      <c r="C104" s="208"/>
      <c r="D104" s="208"/>
      <c r="E104" s="208"/>
      <c r="F104" s="197"/>
      <c r="G104" s="197"/>
      <c r="H104" s="203"/>
      <c r="I104" s="197"/>
      <c r="J104" s="204"/>
    </row>
    <row r="105" spans="1:10" ht="13.5" thickBot="1" x14ac:dyDescent="0.25">
      <c r="A105" s="14" t="s">
        <v>12</v>
      </c>
      <c r="B105" s="197">
        <v>2013</v>
      </c>
      <c r="C105" s="199" t="s">
        <v>201</v>
      </c>
      <c r="D105" s="199"/>
      <c r="E105" s="199"/>
      <c r="F105" s="200">
        <f>'Anexo IV -Projetos e Ativid '!D31</f>
        <v>1150000</v>
      </c>
      <c r="G105" s="200">
        <f>'Anexo IV -Projetos e Ativid '!E31</f>
        <v>1200000</v>
      </c>
      <c r="H105" s="200">
        <f>'Anexo IV -Projetos e Ativid '!F31</f>
        <v>1250000</v>
      </c>
      <c r="I105" s="200">
        <f>'Anexo IV -Projetos e Ativid '!G31</f>
        <v>1300000</v>
      </c>
      <c r="J105" s="205">
        <f>SUM(F105:I105)</f>
        <v>4900000</v>
      </c>
    </row>
    <row r="106" spans="1:10" ht="13.5" thickBot="1" x14ac:dyDescent="0.25">
      <c r="A106" s="15"/>
      <c r="B106" s="197"/>
      <c r="C106" s="199"/>
      <c r="D106" s="199"/>
      <c r="E106" s="199"/>
      <c r="F106" s="200"/>
      <c r="G106" s="200"/>
      <c r="H106" s="200"/>
      <c r="I106" s="200"/>
      <c r="J106" s="205"/>
    </row>
    <row r="107" spans="1:10" ht="13.5" thickBot="1" x14ac:dyDescent="0.25"/>
    <row r="108" spans="1:10" ht="13.5" customHeight="1" thickBot="1" x14ac:dyDescent="0.25">
      <c r="A108" s="210" t="s">
        <v>2</v>
      </c>
      <c r="B108" s="210"/>
      <c r="C108" s="211" t="str">
        <f>'[1]Anexo II - Resumo dos Programas'!B10</f>
        <v>Promoção do Crescimento</v>
      </c>
      <c r="D108" s="211"/>
      <c r="E108" s="211"/>
      <c r="F108" s="211"/>
      <c r="G108" s="211"/>
      <c r="H108" s="211"/>
      <c r="I108" s="211"/>
      <c r="J108" s="211"/>
    </row>
    <row r="109" spans="1:10" ht="12.75" customHeight="1" x14ac:dyDescent="0.2">
      <c r="A109" s="210" t="s">
        <v>4</v>
      </c>
      <c r="B109" s="210"/>
      <c r="C109" s="211" t="s">
        <v>20</v>
      </c>
      <c r="D109" s="211"/>
      <c r="E109" s="211"/>
      <c r="F109" s="211"/>
      <c r="G109" s="211"/>
      <c r="H109" s="211"/>
      <c r="I109" s="211"/>
      <c r="J109" s="211"/>
    </row>
    <row r="110" spans="1:10" x14ac:dyDescent="0.2">
      <c r="A110" s="2"/>
      <c r="B110" s="2"/>
      <c r="C110" s="211"/>
      <c r="D110" s="211"/>
      <c r="E110" s="211"/>
      <c r="F110" s="211"/>
      <c r="G110" s="211"/>
      <c r="H110" s="211"/>
      <c r="I110" s="211"/>
      <c r="J110" s="211"/>
    </row>
    <row r="111" spans="1:10" x14ac:dyDescent="0.2">
      <c r="A111" s="2"/>
      <c r="B111" s="2"/>
      <c r="C111" s="211"/>
      <c r="D111" s="211"/>
      <c r="E111" s="211"/>
      <c r="F111" s="211"/>
      <c r="G111" s="211"/>
      <c r="H111" s="211"/>
      <c r="I111" s="211"/>
      <c r="J111" s="211"/>
    </row>
    <row r="112" spans="1:10" x14ac:dyDescent="0.2">
      <c r="A112" s="2"/>
      <c r="B112" s="2"/>
      <c r="C112" s="211"/>
      <c r="D112" s="211"/>
      <c r="E112" s="211"/>
      <c r="F112" s="211"/>
      <c r="G112" s="211"/>
      <c r="H112" s="211"/>
      <c r="I112" s="211"/>
      <c r="J112" s="211"/>
    </row>
    <row r="113" spans="1:10" x14ac:dyDescent="0.2">
      <c r="A113" s="2"/>
      <c r="B113" s="2"/>
      <c r="C113" s="211"/>
      <c r="D113" s="211"/>
      <c r="E113" s="211"/>
      <c r="F113" s="211"/>
      <c r="G113" s="211"/>
      <c r="H113" s="211"/>
      <c r="I113" s="211"/>
      <c r="J113" s="211"/>
    </row>
    <row r="114" spans="1:10" x14ac:dyDescent="0.2">
      <c r="A114" s="2"/>
      <c r="B114" s="2"/>
      <c r="C114" s="211"/>
      <c r="D114" s="211"/>
      <c r="E114" s="211"/>
      <c r="F114" s="211"/>
      <c r="G114" s="211"/>
      <c r="H114" s="211"/>
      <c r="I114" s="211"/>
      <c r="J114" s="211"/>
    </row>
    <row r="115" spans="1:10" ht="12.75" customHeight="1" x14ac:dyDescent="0.2">
      <c r="A115" s="212" t="s">
        <v>5</v>
      </c>
      <c r="B115" s="212"/>
      <c r="C115" s="212"/>
      <c r="D115" s="212"/>
      <c r="E115" s="3"/>
      <c r="F115" s="4">
        <v>2026</v>
      </c>
      <c r="G115" s="4">
        <v>2027</v>
      </c>
      <c r="H115" s="34">
        <v>2028</v>
      </c>
      <c r="I115" s="4">
        <v>2029</v>
      </c>
      <c r="J115" s="5" t="s">
        <v>6</v>
      </c>
    </row>
    <row r="116" spans="1:10" ht="12.75" customHeight="1" x14ac:dyDescent="0.2">
      <c r="A116" s="213" t="s">
        <v>7</v>
      </c>
      <c r="B116" s="213"/>
      <c r="C116" s="213"/>
      <c r="D116" s="6"/>
      <c r="E116" s="7"/>
      <c r="F116" s="8">
        <f>F120+F122</f>
        <v>2760000</v>
      </c>
      <c r="G116" s="8">
        <f>G120+G122</f>
        <v>2810000</v>
      </c>
      <c r="H116" s="8">
        <f>H120+H122</f>
        <v>2860000</v>
      </c>
      <c r="I116" s="8">
        <f>I120+I122</f>
        <v>2910000</v>
      </c>
      <c r="J116" s="9">
        <f>SUM(F116:I116)</f>
        <v>11340000</v>
      </c>
    </row>
    <row r="117" spans="1:10" x14ac:dyDescent="0.2">
      <c r="A117" s="10"/>
      <c r="B117" s="11"/>
      <c r="C117" s="206"/>
      <c r="D117" s="206"/>
      <c r="E117" s="206"/>
      <c r="F117" s="12"/>
      <c r="G117" s="12"/>
      <c r="H117" s="35"/>
      <c r="I117" s="12"/>
      <c r="J117" s="13"/>
    </row>
    <row r="118" spans="1:10" ht="12.75" customHeight="1" x14ac:dyDescent="0.2">
      <c r="A118" s="207" t="s">
        <v>8</v>
      </c>
      <c r="B118" s="208" t="s">
        <v>9</v>
      </c>
      <c r="C118" s="208" t="s">
        <v>10</v>
      </c>
      <c r="D118" s="208"/>
      <c r="E118" s="208"/>
      <c r="F118" s="197">
        <f>F115</f>
        <v>2026</v>
      </c>
      <c r="G118" s="197">
        <f>G115</f>
        <v>2027</v>
      </c>
      <c r="H118" s="203">
        <f>H115</f>
        <v>2028</v>
      </c>
      <c r="I118" s="197">
        <f>I115</f>
        <v>2029</v>
      </c>
      <c r="J118" s="204" t="s">
        <v>11</v>
      </c>
    </row>
    <row r="119" spans="1:10" x14ac:dyDescent="0.2">
      <c r="A119" s="207"/>
      <c r="B119" s="208"/>
      <c r="C119" s="208"/>
      <c r="D119" s="208"/>
      <c r="E119" s="208"/>
      <c r="F119" s="197"/>
      <c r="G119" s="197"/>
      <c r="H119" s="203"/>
      <c r="I119" s="197"/>
      <c r="J119" s="204"/>
    </row>
    <row r="120" spans="1:10" ht="13.5" thickBot="1" x14ac:dyDescent="0.25">
      <c r="A120" s="14" t="s">
        <v>12</v>
      </c>
      <c r="B120" s="197">
        <v>2014</v>
      </c>
      <c r="C120" s="199" t="s">
        <v>202</v>
      </c>
      <c r="D120" s="199"/>
      <c r="E120" s="199"/>
      <c r="F120" s="200">
        <f>'Anexo IV -Projetos e Ativid '!D32</f>
        <v>2750000</v>
      </c>
      <c r="G120" s="200">
        <f>'Anexo IV -Projetos e Ativid '!E32</f>
        <v>2800000</v>
      </c>
      <c r="H120" s="200">
        <f>'Anexo IV -Projetos e Ativid '!F32</f>
        <v>2850000</v>
      </c>
      <c r="I120" s="200">
        <f>'Anexo IV -Projetos e Ativid '!G32</f>
        <v>2900000</v>
      </c>
      <c r="J120" s="205">
        <f>SUM(F120:I120)</f>
        <v>11300000</v>
      </c>
    </row>
    <row r="121" spans="1:10" ht="13.5" thickBot="1" x14ac:dyDescent="0.25">
      <c r="A121" s="15"/>
      <c r="B121" s="197"/>
      <c r="C121" s="199"/>
      <c r="D121" s="199"/>
      <c r="E121" s="199"/>
      <c r="F121" s="200"/>
      <c r="G121" s="200"/>
      <c r="H121" s="200"/>
      <c r="I121" s="200"/>
      <c r="J121" s="205"/>
    </row>
    <row r="122" spans="1:10" ht="13.5" thickBot="1" x14ac:dyDescent="0.25">
      <c r="A122" s="14" t="s">
        <v>14</v>
      </c>
      <c r="B122" s="197">
        <f>'Anexo IV -Projetos e Ativid '!B33</f>
        <v>3027</v>
      </c>
      <c r="C122" s="199" t="str">
        <f>'Anexo IV -Projetos e Ativid '!C33</f>
        <v>AQUISIÇÃO DE ÁREA PARA INSTALAÇÃO DE INDÚSTRIAS</v>
      </c>
      <c r="D122" s="199"/>
      <c r="E122" s="199"/>
      <c r="F122" s="200">
        <f>'Anexo IV -Projetos e Ativid '!D33</f>
        <v>10000</v>
      </c>
      <c r="G122" s="200">
        <f>'Anexo IV -Projetos e Ativid '!E33</f>
        <v>10000</v>
      </c>
      <c r="H122" s="200">
        <f>'Anexo IV -Projetos e Ativid '!F33</f>
        <v>10000</v>
      </c>
      <c r="I122" s="200">
        <f>'Anexo IV -Projetos e Ativid '!G33</f>
        <v>10000</v>
      </c>
      <c r="J122" s="205">
        <f>SUM(F122:I122)</f>
        <v>40000</v>
      </c>
    </row>
    <row r="123" spans="1:10" x14ac:dyDescent="0.2">
      <c r="A123" s="15"/>
      <c r="B123" s="197"/>
      <c r="C123" s="199"/>
      <c r="D123" s="199"/>
      <c r="E123" s="199"/>
      <c r="F123" s="200"/>
      <c r="G123" s="200"/>
      <c r="H123" s="200"/>
      <c r="I123" s="200"/>
      <c r="J123" s="205"/>
    </row>
    <row r="124" spans="1:10" ht="13.5" thickBot="1" x14ac:dyDescent="0.25"/>
    <row r="125" spans="1:10" ht="13.5" customHeight="1" thickBot="1" x14ac:dyDescent="0.25">
      <c r="A125" s="243" t="s">
        <v>2</v>
      </c>
      <c r="B125" s="244"/>
      <c r="C125" s="245" t="str">
        <f>'[1]Anexo II - Resumo dos Programas'!B12</f>
        <v>Desenvolvimento Educacional</v>
      </c>
      <c r="D125" s="245"/>
      <c r="E125" s="245"/>
      <c r="F125" s="245"/>
      <c r="G125" s="245"/>
      <c r="H125" s="245"/>
      <c r="I125" s="245"/>
      <c r="J125" s="246"/>
    </row>
    <row r="126" spans="1:10" ht="12.75" customHeight="1" thickBot="1" x14ac:dyDescent="0.25">
      <c r="A126" s="238" t="s">
        <v>4</v>
      </c>
      <c r="B126" s="210"/>
      <c r="C126" s="211" t="s">
        <v>23</v>
      </c>
      <c r="D126" s="211"/>
      <c r="E126" s="211"/>
      <c r="F126" s="211"/>
      <c r="G126" s="211"/>
      <c r="H126" s="211"/>
      <c r="I126" s="211"/>
      <c r="J126" s="239"/>
    </row>
    <row r="127" spans="1:10" ht="13.5" thickBot="1" x14ac:dyDescent="0.25">
      <c r="A127" s="49"/>
      <c r="B127" s="2"/>
      <c r="C127" s="211"/>
      <c r="D127" s="211"/>
      <c r="E127" s="211"/>
      <c r="F127" s="211"/>
      <c r="G127" s="211"/>
      <c r="H127" s="211"/>
      <c r="I127" s="211"/>
      <c r="J127" s="239"/>
    </row>
    <row r="128" spans="1:10" ht="13.5" thickBot="1" x14ac:dyDescent="0.25">
      <c r="A128" s="49"/>
      <c r="B128" s="2"/>
      <c r="C128" s="211"/>
      <c r="D128" s="211"/>
      <c r="E128" s="211"/>
      <c r="F128" s="211"/>
      <c r="G128" s="211"/>
      <c r="H128" s="211"/>
      <c r="I128" s="211"/>
      <c r="J128" s="239"/>
    </row>
    <row r="129" spans="1:10" ht="13.5" thickBot="1" x14ac:dyDescent="0.25">
      <c r="A129" s="49"/>
      <c r="B129" s="2"/>
      <c r="C129" s="211"/>
      <c r="D129" s="211"/>
      <c r="E129" s="211"/>
      <c r="F129" s="211"/>
      <c r="G129" s="211"/>
      <c r="H129" s="211"/>
      <c r="I129" s="211"/>
      <c r="J129" s="239"/>
    </row>
    <row r="130" spans="1:10" ht="13.5" thickBot="1" x14ac:dyDescent="0.25">
      <c r="A130" s="49"/>
      <c r="B130" s="2"/>
      <c r="C130" s="211"/>
      <c r="D130" s="211"/>
      <c r="E130" s="211"/>
      <c r="F130" s="211"/>
      <c r="G130" s="211"/>
      <c r="H130" s="211"/>
      <c r="I130" s="211"/>
      <c r="J130" s="239"/>
    </row>
    <row r="131" spans="1:10" ht="13.5" thickBot="1" x14ac:dyDescent="0.25">
      <c r="A131" s="49"/>
      <c r="B131" s="2"/>
      <c r="C131" s="211"/>
      <c r="D131" s="211"/>
      <c r="E131" s="211"/>
      <c r="F131" s="211"/>
      <c r="G131" s="211"/>
      <c r="H131" s="211"/>
      <c r="I131" s="211"/>
      <c r="J131" s="239"/>
    </row>
    <row r="132" spans="1:10" ht="13.5" thickBot="1" x14ac:dyDescent="0.25">
      <c r="A132" s="49"/>
      <c r="B132" s="2"/>
      <c r="C132" s="211"/>
      <c r="D132" s="211"/>
      <c r="E132" s="211"/>
      <c r="F132" s="211"/>
      <c r="G132" s="211"/>
      <c r="H132" s="211"/>
      <c r="I132" s="211"/>
      <c r="J132" s="239"/>
    </row>
    <row r="133" spans="1:10" ht="12.75" customHeight="1" x14ac:dyDescent="0.2">
      <c r="A133" s="240" t="s">
        <v>5</v>
      </c>
      <c r="B133" s="212"/>
      <c r="C133" s="212"/>
      <c r="D133" s="212"/>
      <c r="E133" s="3"/>
      <c r="F133" s="4">
        <v>2026</v>
      </c>
      <c r="G133" s="4">
        <v>2027</v>
      </c>
      <c r="H133" s="34">
        <v>2028</v>
      </c>
      <c r="I133" s="4">
        <v>2029</v>
      </c>
      <c r="J133" s="50" t="s">
        <v>6</v>
      </c>
    </row>
    <row r="134" spans="1:10" ht="12.75" customHeight="1" x14ac:dyDescent="0.2">
      <c r="A134" s="241" t="s">
        <v>7</v>
      </c>
      <c r="B134" s="213"/>
      <c r="C134" s="213"/>
      <c r="D134" s="6"/>
      <c r="E134" s="7"/>
      <c r="F134" s="8">
        <f>SUM(F138:F161)</f>
        <v>45140000</v>
      </c>
      <c r="G134" s="8">
        <f>SUM(G138:G161)</f>
        <v>46910000</v>
      </c>
      <c r="H134" s="8">
        <f>SUM(H138:H161)</f>
        <v>49380000</v>
      </c>
      <c r="I134" s="8">
        <f>SUM(I138:I161)</f>
        <v>50970000</v>
      </c>
      <c r="J134" s="51">
        <f>SUM(F134:I134)</f>
        <v>192400000</v>
      </c>
    </row>
    <row r="135" spans="1:10" x14ac:dyDescent="0.2">
      <c r="A135" s="52"/>
      <c r="B135" s="11"/>
      <c r="C135" s="206"/>
      <c r="D135" s="206"/>
      <c r="E135" s="206"/>
      <c r="F135" s="12"/>
      <c r="G135" s="12"/>
      <c r="H135" s="35"/>
      <c r="I135" s="12"/>
      <c r="J135" s="53"/>
    </row>
    <row r="136" spans="1:10" ht="12.75" customHeight="1" x14ac:dyDescent="0.2">
      <c r="A136" s="237" t="s">
        <v>8</v>
      </c>
      <c r="B136" s="208" t="s">
        <v>9</v>
      </c>
      <c r="C136" s="208" t="s">
        <v>10</v>
      </c>
      <c r="D136" s="208"/>
      <c r="E136" s="208"/>
      <c r="F136" s="197">
        <f>F133</f>
        <v>2026</v>
      </c>
      <c r="G136" s="197">
        <f>G133</f>
        <v>2027</v>
      </c>
      <c r="H136" s="203">
        <f>H133</f>
        <v>2028</v>
      </c>
      <c r="I136" s="197">
        <f>I133</f>
        <v>2029</v>
      </c>
      <c r="J136" s="242" t="s">
        <v>11</v>
      </c>
    </row>
    <row r="137" spans="1:10" x14ac:dyDescent="0.2">
      <c r="A137" s="237"/>
      <c r="B137" s="208"/>
      <c r="C137" s="208"/>
      <c r="D137" s="208"/>
      <c r="E137" s="208"/>
      <c r="F137" s="197"/>
      <c r="G137" s="197"/>
      <c r="H137" s="203"/>
      <c r="I137" s="197"/>
      <c r="J137" s="242"/>
    </row>
    <row r="138" spans="1:10" ht="13.5" thickBot="1" x14ac:dyDescent="0.25">
      <c r="A138" s="54" t="s">
        <v>12</v>
      </c>
      <c r="B138" s="197">
        <v>2020</v>
      </c>
      <c r="C138" s="199" t="s">
        <v>112</v>
      </c>
      <c r="D138" s="199"/>
      <c r="E138" s="199"/>
      <c r="F138" s="200">
        <f>'Anexo IV -Projetos e Ativid '!D37</f>
        <v>3100000</v>
      </c>
      <c r="G138" s="200">
        <f>'Anexo IV -Projetos e Ativid '!E37</f>
        <v>3300000</v>
      </c>
      <c r="H138" s="200">
        <f>'Anexo IV -Projetos e Ativid '!F37</f>
        <v>3500000</v>
      </c>
      <c r="I138" s="200">
        <f>'Anexo IV -Projetos e Ativid '!G37</f>
        <v>3700000</v>
      </c>
      <c r="J138" s="232">
        <f>SUM(F138:I138)</f>
        <v>13600000</v>
      </c>
    </row>
    <row r="139" spans="1:10" ht="13.5" thickBot="1" x14ac:dyDescent="0.25">
      <c r="A139" s="55"/>
      <c r="B139" s="197"/>
      <c r="C139" s="199"/>
      <c r="D139" s="199"/>
      <c r="E139" s="199"/>
      <c r="F139" s="200"/>
      <c r="G139" s="200"/>
      <c r="H139" s="200"/>
      <c r="I139" s="200"/>
      <c r="J139" s="232"/>
    </row>
    <row r="140" spans="1:10" ht="13.5" thickBot="1" x14ac:dyDescent="0.25">
      <c r="A140" s="54" t="s">
        <v>12</v>
      </c>
      <c r="B140" s="197">
        <v>2098</v>
      </c>
      <c r="C140" s="199" t="str">
        <f>'Anexo IV -Projetos e Ativid '!C38</f>
        <v>MANUTENÇÃO DAS ATIVIDADES DA SECRETARIA EDUCAÇÃO FUNDEB</v>
      </c>
      <c r="D140" s="199"/>
      <c r="E140" s="199"/>
      <c r="F140" s="200">
        <f>'Anexo IV -Projetos e Ativid '!D38</f>
        <v>2200000</v>
      </c>
      <c r="G140" s="200">
        <f>'Anexo IV -Projetos e Ativid '!E38</f>
        <v>2400000</v>
      </c>
      <c r="H140" s="200">
        <f>'Anexo IV -Projetos e Ativid '!F38</f>
        <v>2600000</v>
      </c>
      <c r="I140" s="200">
        <f>'Anexo IV -Projetos e Ativid '!G38</f>
        <v>2800000</v>
      </c>
      <c r="J140" s="232">
        <f>SUM(F140:I140)</f>
        <v>10000000</v>
      </c>
    </row>
    <row r="141" spans="1:10" ht="13.5" thickBot="1" x14ac:dyDescent="0.25">
      <c r="A141" s="55"/>
      <c r="B141" s="197"/>
      <c r="C141" s="199"/>
      <c r="D141" s="199"/>
      <c r="E141" s="199"/>
      <c r="F141" s="200"/>
      <c r="G141" s="200"/>
      <c r="H141" s="200"/>
      <c r="I141" s="200"/>
      <c r="J141" s="232"/>
    </row>
    <row r="142" spans="1:10" ht="13.5" thickBot="1" x14ac:dyDescent="0.25">
      <c r="A142" s="54" t="s">
        <v>12</v>
      </c>
      <c r="B142" s="197">
        <v>2010</v>
      </c>
      <c r="C142" s="199" t="str">
        <f>'Anexo IV -Projetos e Ativid '!C39</f>
        <v>EDUCAÇÃO INFANTIL CRECHE-MDE</v>
      </c>
      <c r="D142" s="199"/>
      <c r="E142" s="199"/>
      <c r="F142" s="200">
        <f>'Anexo IV -Projetos e Ativid '!D39</f>
        <v>7800000</v>
      </c>
      <c r="G142" s="200">
        <f>'Anexo IV -Projetos e Ativid '!E39</f>
        <v>8000000</v>
      </c>
      <c r="H142" s="200">
        <f>'Anexo IV -Projetos e Ativid '!F39</f>
        <v>8100000</v>
      </c>
      <c r="I142" s="200">
        <f>'Anexo IV -Projetos e Ativid '!G39</f>
        <v>8200000</v>
      </c>
      <c r="J142" s="232">
        <f>SUM(F142:I142)</f>
        <v>32100000</v>
      </c>
    </row>
    <row r="143" spans="1:10" ht="13.5" thickBot="1" x14ac:dyDescent="0.25">
      <c r="A143" s="55"/>
      <c r="B143" s="197"/>
      <c r="C143" s="199"/>
      <c r="D143" s="199"/>
      <c r="E143" s="199"/>
      <c r="F143" s="200"/>
      <c r="G143" s="200"/>
      <c r="H143" s="200"/>
      <c r="I143" s="200"/>
      <c r="J143" s="232"/>
    </row>
    <row r="144" spans="1:10" ht="13.5" thickBot="1" x14ac:dyDescent="0.25">
      <c r="A144" s="54" t="s">
        <v>12</v>
      </c>
      <c r="B144" s="197">
        <f>'Anexo IV -Projetos e Ativid '!B40</f>
        <v>2015</v>
      </c>
      <c r="C144" s="199" t="str">
        <f>'Anexo IV -Projetos e Ativid '!C40</f>
        <v>EDUCAÇÃO INFANTIL CRECHE-FUNDEB</v>
      </c>
      <c r="D144" s="199"/>
      <c r="E144" s="199"/>
      <c r="F144" s="200">
        <f>'Anexo IV -Projetos e Ativid '!D40</f>
        <v>5900000</v>
      </c>
      <c r="G144" s="200">
        <f>'Anexo IV -Projetos e Ativid '!E40</f>
        <v>6100000</v>
      </c>
      <c r="H144" s="200">
        <f>'Anexo IV -Projetos e Ativid '!F40</f>
        <v>6200000</v>
      </c>
      <c r="I144" s="200">
        <f>'Anexo IV -Projetos e Ativid '!G40</f>
        <v>6300000</v>
      </c>
      <c r="J144" s="232">
        <f>SUM(F144:I144)</f>
        <v>24500000</v>
      </c>
    </row>
    <row r="145" spans="1:10" ht="13.5" thickBot="1" x14ac:dyDescent="0.25">
      <c r="A145" s="55"/>
      <c r="B145" s="197"/>
      <c r="C145" s="199"/>
      <c r="D145" s="199"/>
      <c r="E145" s="199"/>
      <c r="F145" s="200"/>
      <c r="G145" s="200"/>
      <c r="H145" s="200"/>
      <c r="I145" s="200"/>
      <c r="J145" s="232"/>
    </row>
    <row r="146" spans="1:10" ht="12.75" customHeight="1" thickBot="1" x14ac:dyDescent="0.25">
      <c r="A146" s="54" t="s">
        <v>12</v>
      </c>
      <c r="B146" s="197">
        <f>'Anexo IV -Projetos e Ativid '!B41</f>
        <v>2009</v>
      </c>
      <c r="C146" s="198" t="str">
        <f>'Anexo IV -Projetos e Ativid '!C41</f>
        <v>EDUCAÇÃO INFANTIL PRE ESCOLA-MDE</v>
      </c>
      <c r="D146" s="198"/>
      <c r="E146" s="198"/>
      <c r="F146" s="196">
        <f>'Anexo IV -Projetos e Ativid '!D41</f>
        <v>530000</v>
      </c>
      <c r="G146" s="196">
        <f>'Anexo IV -Projetos e Ativid '!E41</f>
        <v>580000</v>
      </c>
      <c r="H146" s="196">
        <f>'Anexo IV -Projetos e Ativid '!F41</f>
        <v>630000</v>
      </c>
      <c r="I146" s="196">
        <f>'Anexo IV -Projetos e Ativid '!G41</f>
        <v>680000</v>
      </c>
      <c r="J146" s="201">
        <f>SUM(F146:I146)</f>
        <v>2420000</v>
      </c>
    </row>
    <row r="147" spans="1:10" ht="13.5" thickBot="1" x14ac:dyDescent="0.25">
      <c r="A147" s="55"/>
      <c r="B147" s="197"/>
      <c r="C147" s="198"/>
      <c r="D147" s="198"/>
      <c r="E147" s="198"/>
      <c r="F147" s="196"/>
      <c r="G147" s="196"/>
      <c r="H147" s="196"/>
      <c r="I147" s="196"/>
      <c r="J147" s="201"/>
    </row>
    <row r="148" spans="1:10" ht="13.5" thickBot="1" x14ac:dyDescent="0.25">
      <c r="A148" s="54" t="s">
        <v>12</v>
      </c>
      <c r="B148" s="197">
        <f>'Anexo IV -Projetos e Ativid '!B42</f>
        <v>2027</v>
      </c>
      <c r="C148" s="198" t="str">
        <f>'Anexo IV -Projetos e Ativid '!C42</f>
        <v>EDUCAÇÃO INFANTIL PRE ESCOLA-FUNDEB</v>
      </c>
      <c r="D148" s="198"/>
      <c r="E148" s="198"/>
      <c r="F148" s="196">
        <f>'Anexo IV -Projetos e Ativid '!D42</f>
        <v>4350000</v>
      </c>
      <c r="G148" s="196">
        <f>'Anexo IV -Projetos e Ativid '!E42</f>
        <v>4650000</v>
      </c>
      <c r="H148" s="196">
        <f>'Anexo IV -Projetos e Ativid '!F42</f>
        <v>4900000</v>
      </c>
      <c r="I148" s="196">
        <f>'Anexo IV -Projetos e Ativid '!G42</f>
        <v>5150000</v>
      </c>
      <c r="J148" s="201">
        <f>SUM(F148:I148)</f>
        <v>19050000</v>
      </c>
    </row>
    <row r="149" spans="1:10" ht="13.5" thickBot="1" x14ac:dyDescent="0.25">
      <c r="A149" s="55"/>
      <c r="B149" s="197"/>
      <c r="C149" s="198"/>
      <c r="D149" s="198"/>
      <c r="E149" s="198"/>
      <c r="F149" s="196"/>
      <c r="G149" s="196"/>
      <c r="H149" s="196"/>
      <c r="I149" s="196"/>
      <c r="J149" s="201"/>
    </row>
    <row r="150" spans="1:10" ht="12.75" customHeight="1" thickBot="1" x14ac:dyDescent="0.25">
      <c r="A150" s="54" t="s">
        <v>12</v>
      </c>
      <c r="B150" s="197">
        <v>2016</v>
      </c>
      <c r="C150" s="198" t="s">
        <v>283</v>
      </c>
      <c r="D150" s="198"/>
      <c r="E150" s="198"/>
      <c r="F150" s="196">
        <f>'Anexo IV -Projetos e Ativid '!D43</f>
        <v>690000</v>
      </c>
      <c r="G150" s="196">
        <f>'Anexo IV -Projetos e Ativid '!E43</f>
        <v>910000</v>
      </c>
      <c r="H150" s="196">
        <f>'Anexo IV -Projetos e Ativid '!F43</f>
        <v>1130000</v>
      </c>
      <c r="I150" s="196">
        <f>'Anexo IV -Projetos e Ativid '!G43</f>
        <v>1350000</v>
      </c>
      <c r="J150" s="201">
        <f>SUM(F150:I150)</f>
        <v>4080000</v>
      </c>
    </row>
    <row r="151" spans="1:10" ht="13.5" thickBot="1" x14ac:dyDescent="0.25">
      <c r="A151" s="55"/>
      <c r="B151" s="197"/>
      <c r="C151" s="198"/>
      <c r="D151" s="198"/>
      <c r="E151" s="198"/>
      <c r="F151" s="196"/>
      <c r="G151" s="196"/>
      <c r="H151" s="196"/>
      <c r="I151" s="196"/>
      <c r="J151" s="201"/>
    </row>
    <row r="152" spans="1:10" ht="12.75" customHeight="1" thickBot="1" x14ac:dyDescent="0.25">
      <c r="A152" s="54" t="s">
        <v>12</v>
      </c>
      <c r="B152" s="197">
        <f>'Anexo IV -Projetos e Ativid '!B52</f>
        <v>2099</v>
      </c>
      <c r="C152" s="198" t="str">
        <f>'Anexo IV -Projetos e Ativid '!C52</f>
        <v>EDUCAÇÃO FISCAL ENSINO FUNDAMENTAL</v>
      </c>
      <c r="D152" s="198"/>
      <c r="E152" s="198"/>
      <c r="F152" s="196">
        <f>'Anexo IV -Projetos e Ativid '!D52</f>
        <v>10000</v>
      </c>
      <c r="G152" s="196">
        <f>'Anexo IV -Projetos e Ativid '!E52</f>
        <v>10000</v>
      </c>
      <c r="H152" s="196">
        <f>'Anexo IV -Projetos e Ativid '!F52</f>
        <v>10000</v>
      </c>
      <c r="I152" s="196">
        <f>'Anexo IV -Projetos e Ativid '!G52</f>
        <v>10000</v>
      </c>
      <c r="J152" s="201">
        <f>SUM(F152:I152)</f>
        <v>40000</v>
      </c>
    </row>
    <row r="153" spans="1:10" ht="13.5" thickBot="1" x14ac:dyDescent="0.25">
      <c r="A153" s="55"/>
      <c r="B153" s="197"/>
      <c r="C153" s="198"/>
      <c r="D153" s="198"/>
      <c r="E153" s="198"/>
      <c r="F153" s="196"/>
      <c r="G153" s="196"/>
      <c r="H153" s="196"/>
      <c r="I153" s="196"/>
      <c r="J153" s="201"/>
    </row>
    <row r="154" spans="1:10" ht="12.75" customHeight="1" thickBot="1" x14ac:dyDescent="0.25">
      <c r="A154" s="54" t="s">
        <v>12</v>
      </c>
      <c r="B154" s="197">
        <v>2022</v>
      </c>
      <c r="C154" s="198" t="s">
        <v>284</v>
      </c>
      <c r="D154" s="198"/>
      <c r="E154" s="198"/>
      <c r="F154" s="196">
        <f>'Anexo IV -Projetos e Ativid '!D44</f>
        <v>7900000</v>
      </c>
      <c r="G154" s="196">
        <f>'Anexo IV -Projetos e Ativid '!E44</f>
        <v>8050000</v>
      </c>
      <c r="H154" s="196">
        <f>'Anexo IV -Projetos e Ativid '!F44</f>
        <v>9250000</v>
      </c>
      <c r="I154" s="196">
        <f>'Anexo IV -Projetos e Ativid '!G44</f>
        <v>9370000</v>
      </c>
      <c r="J154" s="201">
        <f>SUM(F154:I154)</f>
        <v>34570000</v>
      </c>
    </row>
    <row r="155" spans="1:10" ht="13.5" thickBot="1" x14ac:dyDescent="0.25">
      <c r="A155" s="55"/>
      <c r="B155" s="197"/>
      <c r="C155" s="198"/>
      <c r="D155" s="198"/>
      <c r="E155" s="198"/>
      <c r="F155" s="196"/>
      <c r="G155" s="196"/>
      <c r="H155" s="196"/>
      <c r="I155" s="196"/>
      <c r="J155" s="201"/>
    </row>
    <row r="156" spans="1:10" ht="12.75" customHeight="1" thickBot="1" x14ac:dyDescent="0.25">
      <c r="A156" s="54" t="s">
        <v>12</v>
      </c>
      <c r="B156" s="197">
        <v>2023</v>
      </c>
      <c r="C156" s="198" t="s">
        <v>285</v>
      </c>
      <c r="D156" s="198"/>
      <c r="E156" s="198"/>
      <c r="F156" s="196">
        <f>'Anexo IV -Projetos e Ativid '!D45</f>
        <v>11500000</v>
      </c>
      <c r="G156" s="196">
        <f>'Anexo IV -Projetos e Ativid '!E45</f>
        <v>11800000</v>
      </c>
      <c r="H156" s="196">
        <f>'Anexo IV -Projetos e Ativid '!F45</f>
        <v>11950000</v>
      </c>
      <c r="I156" s="196">
        <f>'Anexo IV -Projetos e Ativid '!G45</f>
        <v>12150000</v>
      </c>
      <c r="J156" s="201">
        <f>SUM(F156:I156)</f>
        <v>47400000</v>
      </c>
    </row>
    <row r="157" spans="1:10" ht="13.5" thickBot="1" x14ac:dyDescent="0.25">
      <c r="A157" s="55"/>
      <c r="B157" s="197"/>
      <c r="C157" s="198"/>
      <c r="D157" s="198"/>
      <c r="E157" s="198"/>
      <c r="F157" s="196"/>
      <c r="G157" s="196"/>
      <c r="H157" s="196"/>
      <c r="I157" s="196"/>
      <c r="J157" s="201"/>
    </row>
    <row r="158" spans="1:10" ht="12.75" customHeight="1" thickBot="1" x14ac:dyDescent="0.25">
      <c r="A158" s="54" t="s">
        <v>12</v>
      </c>
      <c r="B158" s="197">
        <v>2024</v>
      </c>
      <c r="C158" s="198" t="s">
        <v>286</v>
      </c>
      <c r="D158" s="198"/>
      <c r="E158" s="198"/>
      <c r="F158" s="196">
        <f>'Anexo IV -Projetos e Ativid '!D46</f>
        <v>1150000</v>
      </c>
      <c r="G158" s="196">
        <f>'Anexo IV -Projetos e Ativid '!E46</f>
        <v>1100000</v>
      </c>
      <c r="H158" s="196">
        <f>'Anexo IV -Projetos e Ativid '!F46</f>
        <v>1100000</v>
      </c>
      <c r="I158" s="196">
        <f>'Anexo IV -Projetos e Ativid '!G46</f>
        <v>1250000</v>
      </c>
      <c r="J158" s="201">
        <f>SUM(F158:I158)</f>
        <v>4600000</v>
      </c>
    </row>
    <row r="159" spans="1:10" ht="13.5" thickBot="1" x14ac:dyDescent="0.25">
      <c r="A159" s="55"/>
      <c r="B159" s="197"/>
      <c r="C159" s="198"/>
      <c r="D159" s="198"/>
      <c r="E159" s="198"/>
      <c r="F159" s="196"/>
      <c r="G159" s="196"/>
      <c r="H159" s="196"/>
      <c r="I159" s="196"/>
      <c r="J159" s="201"/>
    </row>
    <row r="160" spans="1:10" ht="13.5" customHeight="1" thickBot="1" x14ac:dyDescent="0.25">
      <c r="A160" s="54" t="s">
        <v>12</v>
      </c>
      <c r="B160" s="197">
        <v>2137</v>
      </c>
      <c r="C160" s="198" t="s">
        <v>263</v>
      </c>
      <c r="D160" s="198"/>
      <c r="E160" s="198"/>
      <c r="F160" s="196">
        <f>'Anexo IV -Projetos e Ativid '!D51</f>
        <v>10000</v>
      </c>
      <c r="G160" s="196">
        <f>'Anexo IV -Projetos e Ativid '!E51</f>
        <v>10000</v>
      </c>
      <c r="H160" s="196">
        <f>'Anexo IV -Projetos e Ativid '!F51</f>
        <v>10000</v>
      </c>
      <c r="I160" s="196">
        <f>'Anexo IV -Projetos e Ativid '!G51</f>
        <v>10000</v>
      </c>
      <c r="J160" s="201">
        <f>SUM(F160:I160)</f>
        <v>40000</v>
      </c>
    </row>
    <row r="161" spans="1:10" ht="13.5" thickBot="1" x14ac:dyDescent="0.25">
      <c r="A161" s="55"/>
      <c r="B161" s="197"/>
      <c r="C161" s="198"/>
      <c r="D161" s="198"/>
      <c r="E161" s="198"/>
      <c r="F161" s="196"/>
      <c r="G161" s="196"/>
      <c r="H161" s="196"/>
      <c r="I161" s="196"/>
      <c r="J161" s="201"/>
    </row>
    <row r="162" spans="1:10" x14ac:dyDescent="0.2">
      <c r="A162" s="56"/>
      <c r="B162" s="16"/>
      <c r="C162" s="17"/>
      <c r="D162" s="17"/>
      <c r="E162" s="17"/>
      <c r="F162" s="18"/>
      <c r="G162" s="18"/>
      <c r="H162" s="36"/>
      <c r="I162" s="18"/>
      <c r="J162" s="57"/>
    </row>
    <row r="163" spans="1:10" x14ac:dyDescent="0.2">
      <c r="A163" s="56"/>
      <c r="B163" s="16"/>
      <c r="C163" s="17"/>
      <c r="D163" s="17"/>
      <c r="E163" s="17"/>
      <c r="F163" s="18"/>
      <c r="G163" s="18"/>
      <c r="H163" s="36"/>
      <c r="I163" s="18"/>
      <c r="J163" s="57"/>
    </row>
    <row r="164" spans="1:10" ht="13.5" thickBot="1" x14ac:dyDescent="0.25">
      <c r="A164" s="58"/>
      <c r="J164" s="59"/>
    </row>
    <row r="165" spans="1:10" ht="13.5" customHeight="1" thickBot="1" x14ac:dyDescent="0.25">
      <c r="A165" s="238" t="s">
        <v>2</v>
      </c>
      <c r="B165" s="210"/>
      <c r="C165" s="211" t="str">
        <f>'[1]Anexo II - Resumo dos Programas'!B13</f>
        <v>Proteção Social Especial</v>
      </c>
      <c r="D165" s="211"/>
      <c r="E165" s="211"/>
      <c r="F165" s="211"/>
      <c r="G165" s="211"/>
      <c r="H165" s="211"/>
      <c r="I165" s="211"/>
      <c r="J165" s="239"/>
    </row>
    <row r="166" spans="1:10" ht="12.75" customHeight="1" thickBot="1" x14ac:dyDescent="0.25">
      <c r="A166" s="238" t="s">
        <v>4</v>
      </c>
      <c r="B166" s="210"/>
      <c r="C166" s="211" t="s">
        <v>24</v>
      </c>
      <c r="D166" s="211"/>
      <c r="E166" s="211"/>
      <c r="F166" s="211"/>
      <c r="G166" s="211"/>
      <c r="H166" s="211"/>
      <c r="I166" s="211"/>
      <c r="J166" s="239"/>
    </row>
    <row r="167" spans="1:10" ht="13.5" thickBot="1" x14ac:dyDescent="0.25">
      <c r="A167" s="49"/>
      <c r="B167" s="2"/>
      <c r="C167" s="211"/>
      <c r="D167" s="211"/>
      <c r="E167" s="211"/>
      <c r="F167" s="211"/>
      <c r="G167" s="211"/>
      <c r="H167" s="211"/>
      <c r="I167" s="211"/>
      <c r="J167" s="239"/>
    </row>
    <row r="168" spans="1:10" ht="13.5" thickBot="1" x14ac:dyDescent="0.25">
      <c r="A168" s="49"/>
      <c r="B168" s="2"/>
      <c r="C168" s="211"/>
      <c r="D168" s="211"/>
      <c r="E168" s="211"/>
      <c r="F168" s="211"/>
      <c r="G168" s="211"/>
      <c r="H168" s="211"/>
      <c r="I168" s="211"/>
      <c r="J168" s="239"/>
    </row>
    <row r="169" spans="1:10" ht="13.5" thickBot="1" x14ac:dyDescent="0.25">
      <c r="A169" s="49"/>
      <c r="B169" s="2"/>
      <c r="C169" s="211"/>
      <c r="D169" s="211"/>
      <c r="E169" s="211"/>
      <c r="F169" s="211"/>
      <c r="G169" s="211"/>
      <c r="H169" s="211"/>
      <c r="I169" s="211"/>
      <c r="J169" s="239"/>
    </row>
    <row r="170" spans="1:10" ht="13.5" thickBot="1" x14ac:dyDescent="0.25">
      <c r="A170" s="49"/>
      <c r="B170" s="2"/>
      <c r="C170" s="211"/>
      <c r="D170" s="211"/>
      <c r="E170" s="211"/>
      <c r="F170" s="211"/>
      <c r="G170" s="211"/>
      <c r="H170" s="211"/>
      <c r="I170" s="211"/>
      <c r="J170" s="239"/>
    </row>
    <row r="171" spans="1:10" x14ac:dyDescent="0.2">
      <c r="A171" s="49"/>
      <c r="B171" s="2"/>
      <c r="C171" s="2"/>
      <c r="D171" s="2"/>
      <c r="E171" s="2"/>
      <c r="F171" s="2"/>
      <c r="G171" s="2"/>
      <c r="H171" s="37"/>
      <c r="I171" s="2"/>
      <c r="J171" s="60"/>
    </row>
    <row r="172" spans="1:10" x14ac:dyDescent="0.2">
      <c r="A172" s="49"/>
      <c r="B172" s="2"/>
      <c r="C172" s="2"/>
      <c r="D172" s="2"/>
      <c r="E172" s="2"/>
      <c r="F172" s="2"/>
      <c r="G172" s="2"/>
      <c r="H172" s="37"/>
      <c r="I172" s="2"/>
      <c r="J172" s="60"/>
    </row>
    <row r="173" spans="1:10" ht="12.75" customHeight="1" x14ac:dyDescent="0.2">
      <c r="A173" s="240" t="s">
        <v>5</v>
      </c>
      <c r="B173" s="212"/>
      <c r="C173" s="212"/>
      <c r="D173" s="212"/>
      <c r="E173" s="3"/>
      <c r="F173" s="4">
        <v>2026</v>
      </c>
      <c r="G173" s="4">
        <v>2027</v>
      </c>
      <c r="H173" s="34">
        <v>2028</v>
      </c>
      <c r="I173" s="4">
        <v>2029</v>
      </c>
      <c r="J173" s="50" t="s">
        <v>6</v>
      </c>
    </row>
    <row r="174" spans="1:10" ht="12.75" customHeight="1" x14ac:dyDescent="0.2">
      <c r="A174" s="241" t="s">
        <v>7</v>
      </c>
      <c r="B174" s="213"/>
      <c r="C174" s="213"/>
      <c r="D174" s="6"/>
      <c r="E174" s="7"/>
      <c r="F174" s="8">
        <f>F178+F180</f>
        <v>1020000</v>
      </c>
      <c r="G174" s="8">
        <f>G178+G180</f>
        <v>1040000</v>
      </c>
      <c r="H174" s="8">
        <f>H178+H180</f>
        <v>1060000</v>
      </c>
      <c r="I174" s="8">
        <f>I178+I180</f>
        <v>1080000</v>
      </c>
      <c r="J174" s="51">
        <f>SUM(F174:I174)</f>
        <v>4200000</v>
      </c>
    </row>
    <row r="175" spans="1:10" x14ac:dyDescent="0.2">
      <c r="A175" s="52"/>
      <c r="B175" s="11"/>
      <c r="C175" s="206"/>
      <c r="D175" s="206"/>
      <c r="E175" s="206"/>
      <c r="F175" s="12"/>
      <c r="G175" s="12"/>
      <c r="H175" s="35"/>
      <c r="I175" s="12"/>
      <c r="J175" s="53"/>
    </row>
    <row r="176" spans="1:10" ht="12.75" customHeight="1" x14ac:dyDescent="0.2">
      <c r="A176" s="237" t="s">
        <v>8</v>
      </c>
      <c r="B176" s="208" t="s">
        <v>9</v>
      </c>
      <c r="C176" s="208" t="s">
        <v>10</v>
      </c>
      <c r="D176" s="208"/>
      <c r="E176" s="208"/>
      <c r="F176" s="197">
        <f>F173</f>
        <v>2026</v>
      </c>
      <c r="G176" s="197">
        <f>G173</f>
        <v>2027</v>
      </c>
      <c r="H176" s="203">
        <f>H173</f>
        <v>2028</v>
      </c>
      <c r="I176" s="197">
        <f>I173</f>
        <v>2029</v>
      </c>
      <c r="J176" s="242" t="s">
        <v>11</v>
      </c>
    </row>
    <row r="177" spans="1:10" x14ac:dyDescent="0.2">
      <c r="A177" s="237"/>
      <c r="B177" s="208"/>
      <c r="C177" s="208"/>
      <c r="D177" s="208"/>
      <c r="E177" s="208"/>
      <c r="F177" s="197"/>
      <c r="G177" s="197"/>
      <c r="H177" s="203"/>
      <c r="I177" s="197"/>
      <c r="J177" s="242"/>
    </row>
    <row r="178" spans="1:10" ht="13.5" thickBot="1" x14ac:dyDescent="0.25">
      <c r="A178" s="54" t="s">
        <v>12</v>
      </c>
      <c r="B178" s="197">
        <v>2028</v>
      </c>
      <c r="C178" s="199" t="s">
        <v>209</v>
      </c>
      <c r="D178" s="199"/>
      <c r="E178" s="199"/>
      <c r="F178" s="200">
        <f>'Anexo IV -Projetos e Ativid '!D53</f>
        <v>670000</v>
      </c>
      <c r="G178" s="200">
        <f>'Anexo IV -Projetos e Ativid '!E53</f>
        <v>680000</v>
      </c>
      <c r="H178" s="200">
        <f>'Anexo IV -Projetos e Ativid '!F53</f>
        <v>690000</v>
      </c>
      <c r="I178" s="200">
        <f>'Anexo IV -Projetos e Ativid '!G53</f>
        <v>700000</v>
      </c>
      <c r="J178" s="232">
        <f>SUM(F178:I178)</f>
        <v>2740000</v>
      </c>
    </row>
    <row r="179" spans="1:10" ht="13.5" thickBot="1" x14ac:dyDescent="0.25">
      <c r="A179" s="55"/>
      <c r="B179" s="197"/>
      <c r="C179" s="199"/>
      <c r="D179" s="199"/>
      <c r="E179" s="199"/>
      <c r="F179" s="200"/>
      <c r="G179" s="200"/>
      <c r="H179" s="200"/>
      <c r="I179" s="200"/>
      <c r="J179" s="232"/>
    </row>
    <row r="180" spans="1:10" ht="13.5" thickBot="1" x14ac:dyDescent="0.25">
      <c r="A180" s="54" t="s">
        <v>12</v>
      </c>
      <c r="B180" s="197">
        <v>2025</v>
      </c>
      <c r="C180" s="199" t="s">
        <v>207</v>
      </c>
      <c r="D180" s="199"/>
      <c r="E180" s="199"/>
      <c r="F180" s="200">
        <f>'Anexo IV -Projetos e Ativid '!D47</f>
        <v>350000</v>
      </c>
      <c r="G180" s="200">
        <f>'Anexo IV -Projetos e Ativid '!E47</f>
        <v>360000</v>
      </c>
      <c r="H180" s="200">
        <f>'Anexo IV -Projetos e Ativid '!F47</f>
        <v>370000</v>
      </c>
      <c r="I180" s="200">
        <f>'Anexo IV -Projetos e Ativid '!G47</f>
        <v>380000</v>
      </c>
      <c r="J180" s="232">
        <f>SUM(F180:I180)</f>
        <v>1460000</v>
      </c>
    </row>
    <row r="181" spans="1:10" ht="13.5" thickBot="1" x14ac:dyDescent="0.25">
      <c r="A181" s="55"/>
      <c r="B181" s="197"/>
      <c r="C181" s="199"/>
      <c r="D181" s="199"/>
      <c r="E181" s="199"/>
      <c r="F181" s="200"/>
      <c r="G181" s="200"/>
      <c r="H181" s="200"/>
      <c r="I181" s="200"/>
      <c r="J181" s="232"/>
    </row>
    <row r="182" spans="1:10" ht="13.5" thickBot="1" x14ac:dyDescent="0.25">
      <c r="A182" s="58"/>
      <c r="J182" s="59"/>
    </row>
    <row r="183" spans="1:10" ht="13.5" customHeight="1" thickBot="1" x14ac:dyDescent="0.25">
      <c r="A183" s="238" t="s">
        <v>2</v>
      </c>
      <c r="B183" s="210"/>
      <c r="C183" s="211" t="str">
        <f>'[1]Anexo II - Resumo dos Programas'!B14</f>
        <v>Assistência ao Educando</v>
      </c>
      <c r="D183" s="211"/>
      <c r="E183" s="211"/>
      <c r="F183" s="211"/>
      <c r="G183" s="211"/>
      <c r="H183" s="211"/>
      <c r="I183" s="211"/>
      <c r="J183" s="239"/>
    </row>
    <row r="184" spans="1:10" ht="12.75" customHeight="1" thickBot="1" x14ac:dyDescent="0.25">
      <c r="A184" s="238" t="s">
        <v>4</v>
      </c>
      <c r="B184" s="210"/>
      <c r="C184" s="211" t="s">
        <v>25</v>
      </c>
      <c r="D184" s="211"/>
      <c r="E184" s="211"/>
      <c r="F184" s="211"/>
      <c r="G184" s="211"/>
      <c r="H184" s="211"/>
      <c r="I184" s="211"/>
      <c r="J184" s="239"/>
    </row>
    <row r="185" spans="1:10" ht="13.5" thickBot="1" x14ac:dyDescent="0.25">
      <c r="A185" s="49"/>
      <c r="B185" s="2"/>
      <c r="C185" s="211"/>
      <c r="D185" s="211"/>
      <c r="E185" s="211"/>
      <c r="F185" s="211"/>
      <c r="G185" s="211"/>
      <c r="H185" s="211"/>
      <c r="I185" s="211"/>
      <c r="J185" s="239"/>
    </row>
    <row r="186" spans="1:10" ht="13.5" thickBot="1" x14ac:dyDescent="0.25">
      <c r="A186" s="49"/>
      <c r="B186" s="2"/>
      <c r="C186" s="211"/>
      <c r="D186" s="211"/>
      <c r="E186" s="211"/>
      <c r="F186" s="211"/>
      <c r="G186" s="211"/>
      <c r="H186" s="211"/>
      <c r="I186" s="211"/>
      <c r="J186" s="239"/>
    </row>
    <row r="187" spans="1:10" ht="13.5" thickBot="1" x14ac:dyDescent="0.25">
      <c r="A187" s="49"/>
      <c r="B187" s="2"/>
      <c r="C187" s="211"/>
      <c r="D187" s="211"/>
      <c r="E187" s="211"/>
      <c r="F187" s="211"/>
      <c r="G187" s="211"/>
      <c r="H187" s="211"/>
      <c r="I187" s="211"/>
      <c r="J187" s="239"/>
    </row>
    <row r="188" spans="1:10" ht="13.5" thickBot="1" x14ac:dyDescent="0.25">
      <c r="A188" s="49"/>
      <c r="B188" s="2"/>
      <c r="C188" s="211"/>
      <c r="D188" s="211"/>
      <c r="E188" s="211"/>
      <c r="F188" s="211"/>
      <c r="G188" s="211"/>
      <c r="H188" s="211"/>
      <c r="I188" s="211"/>
      <c r="J188" s="239"/>
    </row>
    <row r="189" spans="1:10" ht="12.75" customHeight="1" x14ac:dyDescent="0.2">
      <c r="A189" s="240" t="s">
        <v>5</v>
      </c>
      <c r="B189" s="212"/>
      <c r="C189" s="212"/>
      <c r="D189" s="212"/>
      <c r="E189" s="3"/>
      <c r="F189" s="4">
        <v>2026</v>
      </c>
      <c r="G189" s="4">
        <v>2027</v>
      </c>
      <c r="H189" s="34">
        <v>2028</v>
      </c>
      <c r="I189" s="4">
        <v>2029</v>
      </c>
      <c r="J189" s="50" t="s">
        <v>6</v>
      </c>
    </row>
    <row r="190" spans="1:10" ht="12.75" customHeight="1" x14ac:dyDescent="0.2">
      <c r="A190" s="241" t="s">
        <v>7</v>
      </c>
      <c r="B190" s="213"/>
      <c r="C190" s="213"/>
      <c r="D190" s="6"/>
      <c r="E190" s="7"/>
      <c r="F190" s="8">
        <f>F194+F196+F198</f>
        <v>2670000</v>
      </c>
      <c r="G190" s="8">
        <f>G194+G196+G198</f>
        <v>2740000</v>
      </c>
      <c r="H190" s="105">
        <f>H194+H196+H198</f>
        <v>2810000</v>
      </c>
      <c r="I190" s="8">
        <f>I194+I196+I198</f>
        <v>2880000</v>
      </c>
      <c r="J190" s="51">
        <f>SUM(F190:I190)</f>
        <v>11100000</v>
      </c>
    </row>
    <row r="191" spans="1:10" x14ac:dyDescent="0.2">
      <c r="A191" s="52"/>
      <c r="B191" s="11"/>
      <c r="C191" s="206"/>
      <c r="D191" s="206"/>
      <c r="E191" s="206"/>
      <c r="F191" s="12"/>
      <c r="G191" s="12"/>
      <c r="H191" s="35"/>
      <c r="I191" s="12"/>
      <c r="J191" s="53"/>
    </row>
    <row r="192" spans="1:10" ht="12.75" customHeight="1" x14ac:dyDescent="0.2">
      <c r="A192" s="237" t="s">
        <v>8</v>
      </c>
      <c r="B192" s="208" t="s">
        <v>9</v>
      </c>
      <c r="C192" s="208" t="s">
        <v>10</v>
      </c>
      <c r="D192" s="208"/>
      <c r="E192" s="208"/>
      <c r="F192" s="197">
        <f>F189</f>
        <v>2026</v>
      </c>
      <c r="G192" s="197">
        <f>G189</f>
        <v>2027</v>
      </c>
      <c r="H192" s="203">
        <f>H189</f>
        <v>2028</v>
      </c>
      <c r="I192" s="197">
        <f>I189</f>
        <v>2029</v>
      </c>
      <c r="J192" s="242" t="s">
        <v>11</v>
      </c>
    </row>
    <row r="193" spans="1:10" x14ac:dyDescent="0.2">
      <c r="A193" s="237"/>
      <c r="B193" s="208"/>
      <c r="C193" s="208"/>
      <c r="D193" s="208"/>
      <c r="E193" s="208"/>
      <c r="F193" s="197"/>
      <c r="G193" s="197"/>
      <c r="H193" s="203"/>
      <c r="I193" s="197"/>
      <c r="J193" s="242"/>
    </row>
    <row r="194" spans="1:10" ht="13.5" thickBot="1" x14ac:dyDescent="0.25">
      <c r="A194" s="54" t="s">
        <v>12</v>
      </c>
      <c r="B194" s="197">
        <v>2026</v>
      </c>
      <c r="C194" s="199" t="s">
        <v>218</v>
      </c>
      <c r="D194" s="199"/>
      <c r="E194" s="199"/>
      <c r="F194" s="200">
        <f>'Anexo IV -Projetos e Ativid '!D48</f>
        <v>960000</v>
      </c>
      <c r="G194" s="200">
        <f>'Anexo IV -Projetos e Ativid '!E48</f>
        <v>970000</v>
      </c>
      <c r="H194" s="200">
        <f>'Anexo IV -Projetos e Ativid '!F48</f>
        <v>980000</v>
      </c>
      <c r="I194" s="200">
        <f>'Anexo IV -Projetos e Ativid '!G48</f>
        <v>990000</v>
      </c>
      <c r="J194" s="232">
        <f>SUM(F194:I194)</f>
        <v>3900000</v>
      </c>
    </row>
    <row r="195" spans="1:10" ht="13.5" thickBot="1" x14ac:dyDescent="0.25">
      <c r="A195" s="55"/>
      <c r="B195" s="197"/>
      <c r="C195" s="199"/>
      <c r="D195" s="199"/>
      <c r="E195" s="199"/>
      <c r="F195" s="200"/>
      <c r="G195" s="200"/>
      <c r="H195" s="200"/>
      <c r="I195" s="200"/>
      <c r="J195" s="232"/>
    </row>
    <row r="196" spans="1:10" ht="13.5" thickBot="1" x14ac:dyDescent="0.25">
      <c r="A196" s="54" t="s">
        <v>12</v>
      </c>
      <c r="B196" s="197">
        <v>2029</v>
      </c>
      <c r="C196" s="199" t="s">
        <v>219</v>
      </c>
      <c r="D196" s="199"/>
      <c r="E196" s="199"/>
      <c r="F196" s="200">
        <f>'Anexo IV -Projetos e Ativid '!D49</f>
        <v>1100000</v>
      </c>
      <c r="G196" s="200">
        <f>'Anexo IV -Projetos e Ativid '!E49</f>
        <v>1150000</v>
      </c>
      <c r="H196" s="200">
        <f>'Anexo IV -Projetos e Ativid '!F49</f>
        <v>1200000</v>
      </c>
      <c r="I196" s="200">
        <f>'Anexo IV -Projetos e Ativid '!G49</f>
        <v>1250000</v>
      </c>
      <c r="J196" s="232">
        <f>SUM(F196:I196)</f>
        <v>4700000</v>
      </c>
    </row>
    <row r="197" spans="1:10" ht="13.5" thickBot="1" x14ac:dyDescent="0.25">
      <c r="A197" s="55"/>
      <c r="B197" s="197"/>
      <c r="C197" s="199"/>
      <c r="D197" s="199"/>
      <c r="E197" s="199"/>
      <c r="F197" s="200"/>
      <c r="G197" s="200"/>
      <c r="H197" s="200"/>
      <c r="I197" s="200"/>
      <c r="J197" s="232"/>
    </row>
    <row r="198" spans="1:10" ht="13.5" thickBot="1" x14ac:dyDescent="0.25">
      <c r="A198" s="54" t="s">
        <v>12</v>
      </c>
      <c r="B198" s="197">
        <v>2034</v>
      </c>
      <c r="C198" s="199" t="s">
        <v>222</v>
      </c>
      <c r="D198" s="199"/>
      <c r="E198" s="199"/>
      <c r="F198" s="200">
        <f>'Anexo IV -Projetos e Ativid '!D50</f>
        <v>610000</v>
      </c>
      <c r="G198" s="200">
        <f>'Anexo IV -Projetos e Ativid '!E50</f>
        <v>620000</v>
      </c>
      <c r="H198" s="200">
        <f>'Anexo IV -Projetos e Ativid '!F50</f>
        <v>630000</v>
      </c>
      <c r="I198" s="200">
        <f>'Anexo IV -Projetos e Ativid '!G50</f>
        <v>640000</v>
      </c>
      <c r="J198" s="232">
        <f>SUM(F198:I198)</f>
        <v>2500000</v>
      </c>
    </row>
    <row r="199" spans="1:10" ht="13.5" thickBot="1" x14ac:dyDescent="0.25">
      <c r="A199" s="55"/>
      <c r="B199" s="197"/>
      <c r="C199" s="199"/>
      <c r="D199" s="199"/>
      <c r="E199" s="199"/>
      <c r="F199" s="200"/>
      <c r="G199" s="200"/>
      <c r="H199" s="200"/>
      <c r="I199" s="200"/>
      <c r="J199" s="232"/>
    </row>
    <row r="200" spans="1:10" ht="13.5" thickBot="1" x14ac:dyDescent="0.25">
      <c r="A200" s="61"/>
      <c r="B200" s="62"/>
      <c r="C200" s="62"/>
      <c r="D200" s="62"/>
      <c r="E200" s="62"/>
      <c r="F200" s="62"/>
      <c r="G200" s="62"/>
      <c r="H200" s="63"/>
      <c r="I200" s="62"/>
      <c r="J200" s="64"/>
    </row>
    <row r="201" spans="1:10" ht="13.5" customHeight="1" thickBot="1" x14ac:dyDescent="0.25">
      <c r="A201" s="210" t="s">
        <v>2</v>
      </c>
      <c r="B201" s="210"/>
      <c r="C201" s="211" t="str">
        <f>'[1]Anexo II - Resumo dos Programas'!B11</f>
        <v>Desenvolvimento do Turismo</v>
      </c>
      <c r="D201" s="211"/>
      <c r="E201" s="211"/>
      <c r="F201" s="211"/>
      <c r="G201" s="211"/>
      <c r="H201" s="211"/>
      <c r="I201" s="211"/>
      <c r="J201" s="211"/>
    </row>
    <row r="202" spans="1:10" ht="12.75" customHeight="1" x14ac:dyDescent="0.2">
      <c r="A202" s="210" t="s">
        <v>4</v>
      </c>
      <c r="B202" s="210"/>
      <c r="C202" s="211" t="s">
        <v>21</v>
      </c>
      <c r="D202" s="211"/>
      <c r="E202" s="211"/>
      <c r="F202" s="211"/>
      <c r="G202" s="211"/>
      <c r="H202" s="211"/>
      <c r="I202" s="211"/>
      <c r="J202" s="211"/>
    </row>
    <row r="203" spans="1:10" x14ac:dyDescent="0.2">
      <c r="A203" s="2"/>
      <c r="B203" s="2"/>
      <c r="C203" s="211"/>
      <c r="D203" s="211"/>
      <c r="E203" s="211"/>
      <c r="F203" s="211"/>
      <c r="G203" s="211"/>
      <c r="H203" s="211"/>
      <c r="I203" s="211"/>
      <c r="J203" s="211"/>
    </row>
    <row r="204" spans="1:10" x14ac:dyDescent="0.2">
      <c r="A204" s="2"/>
      <c r="B204" s="2"/>
      <c r="C204" s="211"/>
      <c r="D204" s="211"/>
      <c r="E204" s="211"/>
      <c r="F204" s="211"/>
      <c r="G204" s="211"/>
      <c r="H204" s="211"/>
      <c r="I204" s="211"/>
      <c r="J204" s="211"/>
    </row>
    <row r="205" spans="1:10" x14ac:dyDescent="0.2">
      <c r="A205" s="2"/>
      <c r="B205" s="2"/>
      <c r="C205" s="211"/>
      <c r="D205" s="211"/>
      <c r="E205" s="211"/>
      <c r="F205" s="211"/>
      <c r="G205" s="211"/>
      <c r="H205" s="211"/>
      <c r="I205" s="211"/>
      <c r="J205" s="211"/>
    </row>
    <row r="206" spans="1:10" x14ac:dyDescent="0.2">
      <c r="A206" s="2"/>
      <c r="B206" s="2"/>
      <c r="C206" s="211"/>
      <c r="D206" s="211"/>
      <c r="E206" s="211"/>
      <c r="F206" s="211"/>
      <c r="G206" s="211"/>
      <c r="H206" s="211"/>
      <c r="I206" s="211"/>
      <c r="J206" s="211"/>
    </row>
    <row r="207" spans="1:10" ht="12.75" customHeight="1" x14ac:dyDescent="0.2">
      <c r="A207" s="212" t="s">
        <v>5</v>
      </c>
      <c r="B207" s="212"/>
      <c r="C207" s="212"/>
      <c r="D207" s="212"/>
      <c r="E207" s="3"/>
      <c r="F207" s="4">
        <v>2026</v>
      </c>
      <c r="G207" s="4">
        <v>2027</v>
      </c>
      <c r="H207" s="34">
        <v>2028</v>
      </c>
      <c r="I207" s="4">
        <v>2029</v>
      </c>
      <c r="J207" s="5" t="s">
        <v>6</v>
      </c>
    </row>
    <row r="208" spans="1:10" ht="12.75" customHeight="1" x14ac:dyDescent="0.2">
      <c r="A208" s="213" t="s">
        <v>7</v>
      </c>
      <c r="B208" s="213"/>
      <c r="C208" s="213"/>
      <c r="D208" s="6"/>
      <c r="E208" s="7"/>
      <c r="F208" s="8">
        <f>F212+F214+F216</f>
        <v>3980000</v>
      </c>
      <c r="G208" s="8">
        <f>G212+G214+G216</f>
        <v>4050000</v>
      </c>
      <c r="H208" s="105">
        <f>H212+H214+H216</f>
        <v>4180000</v>
      </c>
      <c r="I208" s="8">
        <f>I212+I214+I216</f>
        <v>4360000</v>
      </c>
      <c r="J208" s="9">
        <f>SUM(F208:I208)</f>
        <v>16570000</v>
      </c>
    </row>
    <row r="209" spans="1:10" x14ac:dyDescent="0.2">
      <c r="A209" s="10"/>
      <c r="B209" s="11"/>
      <c r="C209" s="206"/>
      <c r="D209" s="206"/>
      <c r="E209" s="206"/>
      <c r="F209" s="12"/>
      <c r="G209" s="12"/>
      <c r="H209" s="35"/>
      <c r="I209" s="12"/>
      <c r="J209" s="13"/>
    </row>
    <row r="210" spans="1:10" ht="12.75" customHeight="1" x14ac:dyDescent="0.2">
      <c r="A210" s="207" t="s">
        <v>8</v>
      </c>
      <c r="B210" s="208" t="s">
        <v>9</v>
      </c>
      <c r="C210" s="208" t="s">
        <v>10</v>
      </c>
      <c r="D210" s="208"/>
      <c r="E210" s="208"/>
      <c r="F210" s="197">
        <f>F207</f>
        <v>2026</v>
      </c>
      <c r="G210" s="197">
        <f>G207</f>
        <v>2027</v>
      </c>
      <c r="H210" s="203">
        <f>H207</f>
        <v>2028</v>
      </c>
      <c r="I210" s="197">
        <f>I207</f>
        <v>2029</v>
      </c>
      <c r="J210" s="204" t="s">
        <v>11</v>
      </c>
    </row>
    <row r="211" spans="1:10" x14ac:dyDescent="0.2">
      <c r="A211" s="207"/>
      <c r="B211" s="208"/>
      <c r="C211" s="208"/>
      <c r="D211" s="208"/>
      <c r="E211" s="208"/>
      <c r="F211" s="197"/>
      <c r="G211" s="197"/>
      <c r="H211" s="203"/>
      <c r="I211" s="197"/>
      <c r="J211" s="204"/>
    </row>
    <row r="212" spans="1:10" ht="12.75" customHeight="1" x14ac:dyDescent="0.2">
      <c r="A212" s="14" t="s">
        <v>12</v>
      </c>
      <c r="B212" s="197">
        <v>2018</v>
      </c>
      <c r="C212" s="199" t="s">
        <v>22</v>
      </c>
      <c r="D212" s="199"/>
      <c r="E212" s="199"/>
      <c r="F212" s="200">
        <f>'Anexo IV -Projetos e Ativid '!D117</f>
        <v>720000</v>
      </c>
      <c r="G212" s="200">
        <f>'Anexo IV -Projetos e Ativid '!E117</f>
        <v>750000</v>
      </c>
      <c r="H212" s="200">
        <f>'Anexo IV -Projetos e Ativid '!F117</f>
        <v>780000</v>
      </c>
      <c r="I212" s="200">
        <f>'Anexo IV -Projetos e Ativid '!G117</f>
        <v>810000</v>
      </c>
      <c r="J212" s="205">
        <f>SUM(F212:I212)</f>
        <v>3060000</v>
      </c>
    </row>
    <row r="213" spans="1:10" ht="13.5" thickBot="1" x14ac:dyDescent="0.25">
      <c r="A213" s="15"/>
      <c r="B213" s="197"/>
      <c r="C213" s="199"/>
      <c r="D213" s="199"/>
      <c r="E213" s="199"/>
      <c r="F213" s="200"/>
      <c r="G213" s="200"/>
      <c r="H213" s="200"/>
      <c r="I213" s="200"/>
      <c r="J213" s="205"/>
    </row>
    <row r="214" spans="1:10" ht="13.5" thickBot="1" x14ac:dyDescent="0.25">
      <c r="A214" s="14" t="s">
        <v>12</v>
      </c>
      <c r="B214" s="197">
        <v>2019</v>
      </c>
      <c r="C214" s="199" t="str">
        <f>'[2]Projetos e Atividades'!$B$28</f>
        <v xml:space="preserve">CALENDÁRIO DE EVENTOS </v>
      </c>
      <c r="D214" s="199"/>
      <c r="E214" s="199"/>
      <c r="F214" s="200">
        <f>'Anexo IV -Projetos e Ativid '!D118</f>
        <v>3000000</v>
      </c>
      <c r="G214" s="200">
        <f>'Anexo IV -Projetos e Ativid '!E118</f>
        <v>3100000</v>
      </c>
      <c r="H214" s="200">
        <f>'Anexo IV -Projetos e Ativid '!F118</f>
        <v>3200000</v>
      </c>
      <c r="I214" s="200">
        <f>'Anexo IV -Projetos e Ativid '!G118</f>
        <v>3300000</v>
      </c>
      <c r="J214" s="205">
        <f>SUM(F214:I214)</f>
        <v>12600000</v>
      </c>
    </row>
    <row r="215" spans="1:10" ht="13.5" thickBot="1" x14ac:dyDescent="0.25">
      <c r="A215" s="15"/>
      <c r="B215" s="197"/>
      <c r="C215" s="199"/>
      <c r="D215" s="199"/>
      <c r="E215" s="199"/>
      <c r="F215" s="200"/>
      <c r="G215" s="200"/>
      <c r="H215" s="200"/>
      <c r="I215" s="200"/>
      <c r="J215" s="205"/>
    </row>
    <row r="216" spans="1:10" ht="13.5" thickBot="1" x14ac:dyDescent="0.25">
      <c r="A216" s="14" t="s">
        <v>12</v>
      </c>
      <c r="B216" s="197">
        <v>2097</v>
      </c>
      <c r="C216" s="199" t="str">
        <f>'Anexo IV -Projetos e Ativid '!C119</f>
        <v>MANUTENÇÃO DE ATIVIDADES DO DEPARAMENTO DE TURISMO</v>
      </c>
      <c r="D216" s="199"/>
      <c r="E216" s="199"/>
      <c r="F216" s="200">
        <f>'Anexo IV -Projetos e Ativid '!D119</f>
        <v>260000</v>
      </c>
      <c r="G216" s="200">
        <f>'Anexo IV -Projetos e Ativid '!E119</f>
        <v>200000</v>
      </c>
      <c r="H216" s="200">
        <f>'Anexo IV -Projetos e Ativid '!F119</f>
        <v>200000</v>
      </c>
      <c r="I216" s="200">
        <f>'Anexo IV -Projetos e Ativid '!G119</f>
        <v>250000</v>
      </c>
      <c r="J216" s="205">
        <f>SUM(F216:I216)</f>
        <v>910000</v>
      </c>
    </row>
    <row r="217" spans="1:10" x14ac:dyDescent="0.2">
      <c r="A217" s="15"/>
      <c r="B217" s="197"/>
      <c r="C217" s="199"/>
      <c r="D217" s="199"/>
      <c r="E217" s="199"/>
      <c r="F217" s="200"/>
      <c r="G217" s="200"/>
      <c r="H217" s="200"/>
      <c r="I217" s="200"/>
      <c r="J217" s="205"/>
    </row>
    <row r="218" spans="1:10" ht="13.5" thickBot="1" x14ac:dyDescent="0.25"/>
    <row r="219" spans="1:10" ht="13.5" customHeight="1" thickBot="1" x14ac:dyDescent="0.25">
      <c r="A219" s="210" t="s">
        <v>2</v>
      </c>
      <c r="B219" s="210"/>
      <c r="C219" s="233" t="str">
        <f>'[1]Anexo II - Resumo dos Programas'!B15</f>
        <v>Desenvolvimento da Cultura</v>
      </c>
      <c r="D219" s="234"/>
      <c r="E219" s="234"/>
      <c r="F219" s="234"/>
      <c r="G219" s="234"/>
      <c r="H219" s="234"/>
      <c r="I219" s="234"/>
      <c r="J219" s="235"/>
    </row>
    <row r="220" spans="1:10" ht="12.75" customHeight="1" thickBot="1" x14ac:dyDescent="0.25">
      <c r="A220" s="210" t="s">
        <v>4</v>
      </c>
      <c r="B220" s="210"/>
      <c r="C220" s="236" t="s">
        <v>26</v>
      </c>
      <c r="D220" s="236"/>
      <c r="E220" s="236"/>
      <c r="F220" s="236"/>
      <c r="G220" s="236"/>
      <c r="H220" s="236"/>
      <c r="I220" s="236"/>
      <c r="J220" s="236"/>
    </row>
    <row r="221" spans="1:10" ht="13.5" thickBot="1" x14ac:dyDescent="0.25">
      <c r="A221" s="2"/>
      <c r="B221" s="2"/>
      <c r="C221" s="211"/>
      <c r="D221" s="211"/>
      <c r="E221" s="211"/>
      <c r="F221" s="211"/>
      <c r="G221" s="211"/>
      <c r="H221" s="211"/>
      <c r="I221" s="211"/>
      <c r="J221" s="211"/>
    </row>
    <row r="222" spans="1:10" x14ac:dyDescent="0.2">
      <c r="A222" s="2"/>
      <c r="B222" s="2"/>
      <c r="C222" s="211"/>
      <c r="D222" s="211"/>
      <c r="E222" s="211"/>
      <c r="F222" s="211"/>
      <c r="G222" s="211"/>
      <c r="H222" s="211"/>
      <c r="I222" s="211"/>
      <c r="J222" s="211"/>
    </row>
    <row r="223" spans="1:10" x14ac:dyDescent="0.2">
      <c r="A223" s="2"/>
      <c r="B223" s="2"/>
      <c r="C223" s="211"/>
      <c r="D223" s="211"/>
      <c r="E223" s="211"/>
      <c r="F223" s="211"/>
      <c r="G223" s="211"/>
      <c r="H223" s="211"/>
      <c r="I223" s="211"/>
      <c r="J223" s="211"/>
    </row>
    <row r="224" spans="1:10" x14ac:dyDescent="0.2">
      <c r="A224" s="2"/>
      <c r="B224" s="2"/>
      <c r="C224" s="211"/>
      <c r="D224" s="211"/>
      <c r="E224" s="211"/>
      <c r="F224" s="211"/>
      <c r="G224" s="211"/>
      <c r="H224" s="211"/>
      <c r="I224" s="211"/>
      <c r="J224" s="211"/>
    </row>
    <row r="225" spans="1:10" ht="12.75" customHeight="1" x14ac:dyDescent="0.2">
      <c r="A225" s="212" t="s">
        <v>5</v>
      </c>
      <c r="B225" s="212"/>
      <c r="C225" s="212"/>
      <c r="D225" s="212"/>
      <c r="E225" s="3"/>
      <c r="F225" s="4">
        <v>2026</v>
      </c>
      <c r="G225" s="4">
        <v>2027</v>
      </c>
      <c r="H225" s="34">
        <v>2028</v>
      </c>
      <c r="I225" s="4">
        <v>2029</v>
      </c>
      <c r="J225" s="5" t="s">
        <v>6</v>
      </c>
    </row>
    <row r="226" spans="1:10" ht="12.75" customHeight="1" x14ac:dyDescent="0.2">
      <c r="A226" s="213" t="s">
        <v>7</v>
      </c>
      <c r="B226" s="213"/>
      <c r="C226" s="213"/>
      <c r="D226" s="6"/>
      <c r="E226" s="7"/>
      <c r="F226" s="8">
        <f>F230+F232</f>
        <v>1477000</v>
      </c>
      <c r="G226" s="8">
        <f>G230+G232</f>
        <v>1487000</v>
      </c>
      <c r="H226" s="8">
        <f>H230+H232</f>
        <v>1497000</v>
      </c>
      <c r="I226" s="8">
        <f>I230+I232</f>
        <v>1507000</v>
      </c>
      <c r="J226" s="9">
        <f>SUM(F226:I226)</f>
        <v>5968000</v>
      </c>
    </row>
    <row r="227" spans="1:10" x14ac:dyDescent="0.2">
      <c r="A227" s="10"/>
      <c r="B227" s="11"/>
      <c r="C227" s="206"/>
      <c r="D227" s="206"/>
      <c r="E227" s="206"/>
      <c r="F227" s="12"/>
      <c r="G227" s="12"/>
      <c r="H227" s="35"/>
      <c r="I227" s="12"/>
      <c r="J227" s="13"/>
    </row>
    <row r="228" spans="1:10" ht="12.75" customHeight="1" x14ac:dyDescent="0.2">
      <c r="A228" s="207" t="s">
        <v>8</v>
      </c>
      <c r="B228" s="208" t="s">
        <v>9</v>
      </c>
      <c r="C228" s="208" t="s">
        <v>10</v>
      </c>
      <c r="D228" s="208"/>
      <c r="E228" s="208"/>
      <c r="F228" s="197">
        <f>F225</f>
        <v>2026</v>
      </c>
      <c r="G228" s="197">
        <f>G225</f>
        <v>2027</v>
      </c>
      <c r="H228" s="203">
        <f>H225</f>
        <v>2028</v>
      </c>
      <c r="I228" s="197">
        <f>I225</f>
        <v>2029</v>
      </c>
      <c r="J228" s="204" t="s">
        <v>11</v>
      </c>
    </row>
    <row r="229" spans="1:10" x14ac:dyDescent="0.2">
      <c r="A229" s="207"/>
      <c r="B229" s="208"/>
      <c r="C229" s="208"/>
      <c r="D229" s="208"/>
      <c r="E229" s="208"/>
      <c r="F229" s="197"/>
      <c r="G229" s="197"/>
      <c r="H229" s="203"/>
      <c r="I229" s="197"/>
      <c r="J229" s="204"/>
    </row>
    <row r="230" spans="1:10" ht="13.5" thickBot="1" x14ac:dyDescent="0.25">
      <c r="A230" s="14" t="s">
        <v>12</v>
      </c>
      <c r="B230" s="197">
        <v>2031</v>
      </c>
      <c r="C230" s="199" t="str">
        <f>'[2]Projetos e Atividades'!$B$44</f>
        <v>MANUTENÇÃO DO DEPARTAMENTO DE CULTURA</v>
      </c>
      <c r="D230" s="199"/>
      <c r="E230" s="199"/>
      <c r="F230" s="200">
        <f>'Anexo IV -Projetos e Ativid '!D116</f>
        <v>1305000</v>
      </c>
      <c r="G230" s="200">
        <f>'Anexo IV -Projetos e Ativid '!E116</f>
        <v>1315000</v>
      </c>
      <c r="H230" s="200">
        <f>'Anexo IV -Projetos e Ativid '!F116</f>
        <v>1325000</v>
      </c>
      <c r="I230" s="200">
        <f>'Anexo IV -Projetos e Ativid '!G116</f>
        <v>1335000</v>
      </c>
      <c r="J230" s="205">
        <f>SUM(F230:I230)</f>
        <v>5280000</v>
      </c>
    </row>
    <row r="231" spans="1:10" ht="13.5" thickBot="1" x14ac:dyDescent="0.25">
      <c r="A231" s="15"/>
      <c r="B231" s="197"/>
      <c r="C231" s="199"/>
      <c r="D231" s="199"/>
      <c r="E231" s="199"/>
      <c r="F231" s="200"/>
      <c r="G231" s="200"/>
      <c r="H231" s="200"/>
      <c r="I231" s="200"/>
      <c r="J231" s="205"/>
    </row>
    <row r="232" spans="1:10" ht="13.5" thickBot="1" x14ac:dyDescent="0.25">
      <c r="A232" s="14" t="s">
        <v>12</v>
      </c>
      <c r="B232" s="197">
        <f>'Anexo IV -Projetos e Ativid '!B122</f>
        <v>2094</v>
      </c>
      <c r="C232" s="199" t="str">
        <f>'Anexo IV -Projetos e Ativid '!C122</f>
        <v>PATRIMÔNIO HISTÓRICO E CULTURAL</v>
      </c>
      <c r="D232" s="199"/>
      <c r="E232" s="199"/>
      <c r="F232" s="200">
        <f>'Anexo IV -Projetos e Ativid '!D122</f>
        <v>172000</v>
      </c>
      <c r="G232" s="200">
        <f>'Anexo IV -Projetos e Ativid '!E122</f>
        <v>172000</v>
      </c>
      <c r="H232" s="200">
        <f>'Anexo IV -Projetos e Ativid '!F122</f>
        <v>172000</v>
      </c>
      <c r="I232" s="200">
        <f>'Anexo IV -Projetos e Ativid '!G122</f>
        <v>172000</v>
      </c>
      <c r="J232" s="205">
        <f>SUM(F232:I232)</f>
        <v>688000</v>
      </c>
    </row>
    <row r="233" spans="1:10" x14ac:dyDescent="0.2">
      <c r="A233" s="15"/>
      <c r="B233" s="197"/>
      <c r="C233" s="199"/>
      <c r="D233" s="199"/>
      <c r="E233" s="199"/>
      <c r="F233" s="200"/>
      <c r="G233" s="200"/>
      <c r="H233" s="200"/>
      <c r="I233" s="200"/>
      <c r="J233" s="205"/>
    </row>
    <row r="235" spans="1:10" ht="13.5" customHeight="1" x14ac:dyDescent="0.2">
      <c r="A235" s="210" t="s">
        <v>2</v>
      </c>
      <c r="B235" s="210"/>
      <c r="C235" s="211" t="str">
        <f>'[1]Anexo II - Resumo dos Programas'!B16</f>
        <v>Promoção do Desporto e Lazer</v>
      </c>
      <c r="D235" s="211"/>
      <c r="E235" s="211"/>
      <c r="F235" s="211"/>
      <c r="G235" s="211"/>
      <c r="H235" s="211"/>
      <c r="I235" s="211"/>
      <c r="J235" s="211"/>
    </row>
    <row r="236" spans="1:10" ht="12.75" customHeight="1" x14ac:dyDescent="0.2">
      <c r="A236" s="210" t="s">
        <v>4</v>
      </c>
      <c r="B236" s="210"/>
      <c r="C236" s="211" t="s">
        <v>27</v>
      </c>
      <c r="D236" s="211"/>
      <c r="E236" s="211"/>
      <c r="F236" s="211"/>
      <c r="G236" s="211"/>
      <c r="H236" s="211"/>
      <c r="I236" s="211"/>
      <c r="J236" s="211"/>
    </row>
    <row r="237" spans="1:10" x14ac:dyDescent="0.2">
      <c r="A237" s="2"/>
      <c r="B237" s="2"/>
      <c r="C237" s="211"/>
      <c r="D237" s="211"/>
      <c r="E237" s="211"/>
      <c r="F237" s="211"/>
      <c r="G237" s="211"/>
      <c r="H237" s="211"/>
      <c r="I237" s="211"/>
      <c r="J237" s="211"/>
    </row>
    <row r="238" spans="1:10" x14ac:dyDescent="0.2">
      <c r="A238" s="2"/>
      <c r="B238" s="2"/>
      <c r="C238" s="211"/>
      <c r="D238" s="211"/>
      <c r="E238" s="211"/>
      <c r="F238" s="211"/>
      <c r="G238" s="211"/>
      <c r="H238" s="211"/>
      <c r="I238" s="211"/>
      <c r="J238" s="211"/>
    </row>
    <row r="239" spans="1:10" x14ac:dyDescent="0.2">
      <c r="A239" s="2"/>
      <c r="B239" s="2"/>
      <c r="C239" s="211"/>
      <c r="D239" s="211"/>
      <c r="E239" s="211"/>
      <c r="F239" s="211"/>
      <c r="G239" s="211"/>
      <c r="H239" s="211"/>
      <c r="I239" s="211"/>
      <c r="J239" s="211"/>
    </row>
    <row r="240" spans="1:10" x14ac:dyDescent="0.2">
      <c r="A240" s="2"/>
      <c r="B240" s="2"/>
      <c r="C240" s="211"/>
      <c r="D240" s="211"/>
      <c r="E240" s="211"/>
      <c r="F240" s="211"/>
      <c r="G240" s="211"/>
      <c r="H240" s="211"/>
      <c r="I240" s="211"/>
      <c r="J240" s="211"/>
    </row>
    <row r="241" spans="1:10" ht="12.75" customHeight="1" x14ac:dyDescent="0.2">
      <c r="A241" s="212" t="s">
        <v>5</v>
      </c>
      <c r="B241" s="212"/>
      <c r="C241" s="212"/>
      <c r="D241" s="212"/>
      <c r="E241" s="3"/>
      <c r="F241" s="4">
        <v>2026</v>
      </c>
      <c r="G241" s="4">
        <v>2027</v>
      </c>
      <c r="H241" s="34">
        <v>2028</v>
      </c>
      <c r="I241" s="4">
        <v>2029</v>
      </c>
      <c r="J241" s="5" t="s">
        <v>6</v>
      </c>
    </row>
    <row r="242" spans="1:10" ht="12.75" customHeight="1" x14ac:dyDescent="0.2">
      <c r="A242" s="213" t="s">
        <v>7</v>
      </c>
      <c r="B242" s="213"/>
      <c r="C242" s="213"/>
      <c r="D242" s="6"/>
      <c r="E242" s="7"/>
      <c r="F242" s="8">
        <f>SUM(F246:F251)</f>
        <v>3800000</v>
      </c>
      <c r="G242" s="8">
        <f>SUM(G246:G251)</f>
        <v>4010000</v>
      </c>
      <c r="H242" s="8">
        <f>SUM(H246:H251)</f>
        <v>4120000</v>
      </c>
      <c r="I242" s="8">
        <f>SUM(I246:I251)</f>
        <v>4230000</v>
      </c>
      <c r="J242" s="9">
        <f>SUM(F242:I242)</f>
        <v>16160000</v>
      </c>
    </row>
    <row r="243" spans="1:10" x14ac:dyDescent="0.2">
      <c r="A243" s="10"/>
      <c r="B243" s="11"/>
      <c r="C243" s="206"/>
      <c r="D243" s="206"/>
      <c r="E243" s="206"/>
      <c r="F243" s="12"/>
      <c r="G243" s="12"/>
      <c r="H243" s="35"/>
      <c r="I243" s="12"/>
      <c r="J243" s="13"/>
    </row>
    <row r="244" spans="1:10" ht="12.75" customHeight="1" x14ac:dyDescent="0.2">
      <c r="A244" s="207" t="s">
        <v>8</v>
      </c>
      <c r="B244" s="208" t="s">
        <v>9</v>
      </c>
      <c r="C244" s="208" t="s">
        <v>10</v>
      </c>
      <c r="D244" s="208"/>
      <c r="E244" s="208"/>
      <c r="F244" s="197">
        <f>F241</f>
        <v>2026</v>
      </c>
      <c r="G244" s="197">
        <f>G241</f>
        <v>2027</v>
      </c>
      <c r="H244" s="203">
        <f>H241</f>
        <v>2028</v>
      </c>
      <c r="I244" s="197">
        <f>I241</f>
        <v>2029</v>
      </c>
      <c r="J244" s="204" t="s">
        <v>11</v>
      </c>
    </row>
    <row r="245" spans="1:10" x14ac:dyDescent="0.2">
      <c r="A245" s="207"/>
      <c r="B245" s="208"/>
      <c r="C245" s="208"/>
      <c r="D245" s="208"/>
      <c r="E245" s="208"/>
      <c r="F245" s="197"/>
      <c r="G245" s="197"/>
      <c r="H245" s="203"/>
      <c r="I245" s="197"/>
      <c r="J245" s="204"/>
    </row>
    <row r="246" spans="1:10" ht="13.5" thickBot="1" x14ac:dyDescent="0.25">
      <c r="A246" s="14" t="s">
        <v>12</v>
      </c>
      <c r="B246" s="197">
        <v>2033</v>
      </c>
      <c r="C246" s="199" t="str">
        <f>'[2]Projetos e Atividades'!$B$46</f>
        <v>MANUTENÇÃO DO DEPARTAMENTO DE DESPORTO</v>
      </c>
      <c r="D246" s="199"/>
      <c r="E246" s="199"/>
      <c r="F246" s="200">
        <f>'Anexo IV -Projetos e Ativid '!D120</f>
        <v>1200000</v>
      </c>
      <c r="G246" s="200">
        <f>'Anexo IV -Projetos e Ativid '!E120</f>
        <v>1210000</v>
      </c>
      <c r="H246" s="200">
        <f>'Anexo IV -Projetos e Ativid '!F120</f>
        <v>1220000</v>
      </c>
      <c r="I246" s="200">
        <f>'Anexo IV -Projetos e Ativid '!G120</f>
        <v>1230000</v>
      </c>
      <c r="J246" s="205">
        <f>SUM(F246:I246)</f>
        <v>4860000</v>
      </c>
    </row>
    <row r="247" spans="1:10" ht="13.5" thickBot="1" x14ac:dyDescent="0.25">
      <c r="A247" s="15"/>
      <c r="B247" s="197"/>
      <c r="C247" s="199"/>
      <c r="D247" s="199"/>
      <c r="E247" s="199"/>
      <c r="F247" s="200"/>
      <c r="G247" s="200"/>
      <c r="H247" s="200"/>
      <c r="I247" s="200"/>
      <c r="J247" s="205"/>
    </row>
    <row r="248" spans="1:10" ht="13.5" thickBot="1" x14ac:dyDescent="0.25">
      <c r="A248" s="14" t="s">
        <v>12</v>
      </c>
      <c r="B248" s="197">
        <v>2040</v>
      </c>
      <c r="C248" s="199" t="str">
        <f>'[2]Projetos e Atividades'!$B$49</f>
        <v>PROGRAMA LAZER UNINDO GERAÇÕES + PROJETOS ESPECIAIS</v>
      </c>
      <c r="D248" s="199"/>
      <c r="E248" s="199"/>
      <c r="F248" s="200">
        <f>'Anexo IV -Projetos e Ativid '!D54</f>
        <v>1600000</v>
      </c>
      <c r="G248" s="200">
        <f>'Anexo IV -Projetos e Ativid '!E54</f>
        <v>1800000</v>
      </c>
      <c r="H248" s="200">
        <f>'Anexo IV -Projetos e Ativid '!F54</f>
        <v>1900000</v>
      </c>
      <c r="I248" s="200">
        <f>'Anexo IV -Projetos e Ativid '!G54</f>
        <v>2000000</v>
      </c>
      <c r="J248" s="205">
        <f>SUM(F248:I248)</f>
        <v>7300000</v>
      </c>
    </row>
    <row r="249" spans="1:10" ht="13.5" thickBot="1" x14ac:dyDescent="0.25">
      <c r="A249" s="15"/>
      <c r="B249" s="223"/>
      <c r="C249" s="225"/>
      <c r="D249" s="225"/>
      <c r="E249" s="225"/>
      <c r="F249" s="226"/>
      <c r="G249" s="226"/>
      <c r="H249" s="226"/>
      <c r="I249" s="226"/>
      <c r="J249" s="229"/>
    </row>
    <row r="250" spans="1:10" ht="13.5" thickBot="1" x14ac:dyDescent="0.25">
      <c r="A250" s="132" t="s">
        <v>12</v>
      </c>
      <c r="B250" s="227">
        <v>3147</v>
      </c>
      <c r="C250" s="184" t="s">
        <v>331</v>
      </c>
      <c r="D250" s="185"/>
      <c r="E250" s="186"/>
      <c r="F250" s="190">
        <f>'Anexo IV -Projetos e Ativid '!D121</f>
        <v>1000000</v>
      </c>
      <c r="G250" s="192">
        <f>'Anexo IV -Projetos e Ativid '!E121</f>
        <v>1000000</v>
      </c>
      <c r="H250" s="190">
        <f>'Anexo IV -Projetos e Ativid '!F121</f>
        <v>1000000</v>
      </c>
      <c r="I250" s="192">
        <f>'Anexo IV -Projetos e Ativid '!G121</f>
        <v>1000000</v>
      </c>
      <c r="J250" s="194">
        <f>SUM(F250:I250)</f>
        <v>4000000</v>
      </c>
    </row>
    <row r="251" spans="1:10" ht="13.5" thickBot="1" x14ac:dyDescent="0.25">
      <c r="A251" s="131"/>
      <c r="B251" s="228"/>
      <c r="C251" s="187"/>
      <c r="D251" s="188"/>
      <c r="E251" s="189"/>
      <c r="F251" s="191"/>
      <c r="G251" s="193"/>
      <c r="H251" s="191"/>
      <c r="I251" s="193"/>
      <c r="J251" s="195"/>
    </row>
    <row r="252" spans="1:10" ht="13.5" thickBot="1" x14ac:dyDescent="0.25"/>
    <row r="253" spans="1:10" ht="13.5" customHeight="1" thickBot="1" x14ac:dyDescent="0.25">
      <c r="A253" s="210" t="s">
        <v>2</v>
      </c>
      <c r="B253" s="210"/>
      <c r="C253" s="211" t="s">
        <v>55</v>
      </c>
      <c r="D253" s="211"/>
      <c r="E253" s="211"/>
      <c r="F253" s="211"/>
      <c r="G253" s="211"/>
      <c r="H253" s="211"/>
      <c r="I253" s="211"/>
      <c r="J253" s="211"/>
    </row>
    <row r="254" spans="1:10" ht="12.75" customHeight="1" thickBot="1" x14ac:dyDescent="0.25">
      <c r="A254" s="210" t="s">
        <v>4</v>
      </c>
      <c r="B254" s="210"/>
      <c r="C254" s="211" t="s">
        <v>28</v>
      </c>
      <c r="D254" s="211"/>
      <c r="E254" s="211"/>
      <c r="F254" s="211"/>
      <c r="G254" s="211"/>
      <c r="H254" s="211"/>
      <c r="I254" s="211"/>
      <c r="J254" s="211"/>
    </row>
    <row r="255" spans="1:10" ht="13.5" thickBot="1" x14ac:dyDescent="0.25">
      <c r="A255" s="2"/>
      <c r="B255" s="2"/>
      <c r="C255" s="211"/>
      <c r="D255" s="211"/>
      <c r="E255" s="211"/>
      <c r="F255" s="211"/>
      <c r="G255" s="211"/>
      <c r="H255" s="211"/>
      <c r="I255" s="211"/>
      <c r="J255" s="211"/>
    </row>
    <row r="256" spans="1:10" x14ac:dyDescent="0.2">
      <c r="A256" s="2"/>
      <c r="B256" s="2"/>
      <c r="C256" s="211"/>
      <c r="D256" s="211"/>
      <c r="E256" s="211"/>
      <c r="F256" s="211"/>
      <c r="G256" s="211"/>
      <c r="H256" s="211"/>
      <c r="I256" s="211"/>
      <c r="J256" s="211"/>
    </row>
    <row r="257" spans="1:256" x14ac:dyDescent="0.2">
      <c r="A257" s="2"/>
      <c r="B257" s="2"/>
      <c r="C257" s="211"/>
      <c r="D257" s="211"/>
      <c r="E257" s="211"/>
      <c r="F257" s="211"/>
      <c r="G257" s="211"/>
      <c r="H257" s="211"/>
      <c r="I257" s="211"/>
      <c r="J257" s="211"/>
    </row>
    <row r="258" spans="1:256" x14ac:dyDescent="0.2">
      <c r="A258" s="2"/>
      <c r="B258" s="2"/>
      <c r="C258" s="211"/>
      <c r="D258" s="211"/>
      <c r="E258" s="211"/>
      <c r="F258" s="211"/>
      <c r="G258" s="211"/>
      <c r="H258" s="211"/>
      <c r="I258" s="211"/>
      <c r="J258" s="211"/>
    </row>
    <row r="259" spans="1:256" x14ac:dyDescent="0.2">
      <c r="A259" s="2"/>
      <c r="B259" s="2"/>
      <c r="C259" s="211"/>
      <c r="D259" s="211"/>
      <c r="E259" s="211"/>
      <c r="F259" s="211"/>
      <c r="G259" s="211"/>
      <c r="H259" s="211"/>
      <c r="I259" s="211"/>
      <c r="J259" s="211"/>
    </row>
    <row r="260" spans="1:256" x14ac:dyDescent="0.2">
      <c r="A260" s="2"/>
      <c r="B260" s="2"/>
      <c r="C260" s="211"/>
      <c r="D260" s="211"/>
      <c r="E260" s="211"/>
      <c r="F260" s="211"/>
      <c r="G260" s="211"/>
      <c r="H260" s="211"/>
      <c r="I260" s="211"/>
      <c r="J260" s="211"/>
    </row>
    <row r="261" spans="1:256" ht="12.75" customHeight="1" x14ac:dyDescent="0.2">
      <c r="A261" s="212" t="s">
        <v>5</v>
      </c>
      <c r="B261" s="212"/>
      <c r="C261" s="212"/>
      <c r="D261" s="212"/>
      <c r="E261" s="3"/>
      <c r="F261" s="4">
        <v>2026</v>
      </c>
      <c r="G261" s="4">
        <v>2027</v>
      </c>
      <c r="H261" s="34">
        <v>2028</v>
      </c>
      <c r="I261" s="4">
        <v>2029</v>
      </c>
      <c r="J261" s="5" t="s">
        <v>6</v>
      </c>
    </row>
    <row r="262" spans="1:256" ht="12.75" customHeight="1" x14ac:dyDescent="0.2">
      <c r="A262" s="213" t="s">
        <v>7</v>
      </c>
      <c r="B262" s="213"/>
      <c r="C262" s="213"/>
      <c r="D262" s="6"/>
      <c r="E262" s="7"/>
      <c r="F262" s="8">
        <f>F266+F268+F272+F270</f>
        <v>8750000</v>
      </c>
      <c r="G262" s="8">
        <f>G266+G268+G272+G270</f>
        <v>7800000</v>
      </c>
      <c r="H262" s="8">
        <f>H266+H268+H272+H270</f>
        <v>7850000</v>
      </c>
      <c r="I262" s="8">
        <f>I266+I268+I272+I270</f>
        <v>3900000</v>
      </c>
      <c r="J262" s="9">
        <f>SUM(F262:I262)</f>
        <v>28300000</v>
      </c>
    </row>
    <row r="263" spans="1:256" x14ac:dyDescent="0.2">
      <c r="A263" s="10"/>
      <c r="B263" s="11"/>
      <c r="C263" s="206"/>
      <c r="D263" s="206"/>
      <c r="E263" s="206"/>
      <c r="F263" s="12"/>
      <c r="G263" s="12"/>
      <c r="H263" s="35"/>
      <c r="I263" s="12"/>
      <c r="J263" s="13"/>
    </row>
    <row r="264" spans="1:256" ht="12.75" customHeight="1" x14ac:dyDescent="0.2">
      <c r="A264" s="207" t="s">
        <v>8</v>
      </c>
      <c r="B264" s="208" t="s">
        <v>9</v>
      </c>
      <c r="C264" s="208" t="s">
        <v>10</v>
      </c>
      <c r="D264" s="208"/>
      <c r="E264" s="208"/>
      <c r="F264" s="197">
        <f>F261</f>
        <v>2026</v>
      </c>
      <c r="G264" s="197">
        <f>G261</f>
        <v>2027</v>
      </c>
      <c r="H264" s="203">
        <f>H261</f>
        <v>2028</v>
      </c>
      <c r="I264" s="197">
        <f>I261</f>
        <v>2029</v>
      </c>
      <c r="J264" s="204" t="s">
        <v>11</v>
      </c>
    </row>
    <row r="265" spans="1:256" x14ac:dyDescent="0.2">
      <c r="A265" s="207"/>
      <c r="B265" s="208"/>
      <c r="C265" s="208"/>
      <c r="D265" s="208"/>
      <c r="E265" s="208"/>
      <c r="F265" s="197"/>
      <c r="G265" s="197"/>
      <c r="H265" s="203"/>
      <c r="I265" s="197"/>
      <c r="J265" s="204"/>
    </row>
    <row r="266" spans="1:256" ht="13.5" thickBot="1" x14ac:dyDescent="0.25">
      <c r="A266" s="14" t="s">
        <v>12</v>
      </c>
      <c r="B266" s="197">
        <v>2042</v>
      </c>
      <c r="C266" s="199" t="s">
        <v>229</v>
      </c>
      <c r="D266" s="199"/>
      <c r="E266" s="199"/>
      <c r="F266" s="200">
        <f>'Anexo IV -Projetos e Ativid '!D62</f>
        <v>6480000</v>
      </c>
      <c r="G266" s="200">
        <f>'Anexo IV -Projetos e Ativid '!E62</f>
        <v>5480000</v>
      </c>
      <c r="H266" s="200">
        <f>'Anexo IV -Projetos e Ativid '!F62</f>
        <v>5480000</v>
      </c>
      <c r="I266" s="200">
        <f>'Anexo IV -Projetos e Ativid '!G62</f>
        <v>1480000</v>
      </c>
      <c r="J266" s="205">
        <f>SUM(F266:I266)</f>
        <v>18920000</v>
      </c>
    </row>
    <row r="267" spans="1:256" ht="13.5" thickBot="1" x14ac:dyDescent="0.25">
      <c r="A267" s="15"/>
      <c r="B267" s="197"/>
      <c r="C267" s="199"/>
      <c r="D267" s="199"/>
      <c r="E267" s="199"/>
      <c r="F267" s="200"/>
      <c r="G267" s="200"/>
      <c r="H267" s="200"/>
      <c r="I267" s="200"/>
      <c r="J267" s="205"/>
    </row>
    <row r="268" spans="1:256" ht="13.5" thickBot="1" x14ac:dyDescent="0.25">
      <c r="A268" s="14" t="s">
        <v>12</v>
      </c>
      <c r="B268" s="197">
        <v>2045</v>
      </c>
      <c r="C268" s="199" t="s">
        <v>231</v>
      </c>
      <c r="D268" s="199"/>
      <c r="E268" s="199"/>
      <c r="F268" s="200">
        <f>'Anexo IV -Projetos e Ativid '!D64</f>
        <v>2250000</v>
      </c>
      <c r="G268" s="200">
        <f>'Anexo IV -Projetos e Ativid '!E64</f>
        <v>2300000</v>
      </c>
      <c r="H268" s="200">
        <f>'Anexo IV -Projetos e Ativid '!F64</f>
        <v>2350000</v>
      </c>
      <c r="I268" s="200">
        <f>'Anexo IV -Projetos e Ativid '!G64</f>
        <v>2400000</v>
      </c>
      <c r="J268" s="205">
        <f>SUM(F268:I268)</f>
        <v>9300000</v>
      </c>
    </row>
    <row r="269" spans="1:256" ht="13.5" thickBot="1" x14ac:dyDescent="0.25">
      <c r="A269" s="15"/>
      <c r="B269" s="197"/>
      <c r="C269" s="199"/>
      <c r="D269" s="199"/>
      <c r="E269" s="199"/>
      <c r="F269" s="200"/>
      <c r="G269" s="200"/>
      <c r="H269" s="200"/>
      <c r="I269" s="200"/>
      <c r="J269" s="205"/>
    </row>
    <row r="270" spans="1:256" ht="13.5" customHeight="1" thickBot="1" x14ac:dyDescent="0.25">
      <c r="A270" s="14" t="s">
        <v>14</v>
      </c>
      <c r="B270" s="197">
        <v>3148</v>
      </c>
      <c r="C270" s="199" t="s">
        <v>339</v>
      </c>
      <c r="D270" s="199"/>
      <c r="E270" s="199"/>
      <c r="F270" s="200">
        <v>20000</v>
      </c>
      <c r="G270" s="200">
        <v>20000</v>
      </c>
      <c r="H270" s="200">
        <v>20000</v>
      </c>
      <c r="I270" s="200">
        <v>20000</v>
      </c>
      <c r="J270" s="205">
        <f>SUM(F270:I270)</f>
        <v>80000</v>
      </c>
    </row>
    <row r="271" spans="1:256" ht="13.5" customHeight="1" thickBot="1" x14ac:dyDescent="0.25">
      <c r="A271" s="15"/>
      <c r="B271" s="197"/>
      <c r="C271" s="199"/>
      <c r="D271" s="199"/>
      <c r="E271" s="199"/>
      <c r="F271" s="200"/>
      <c r="G271" s="200"/>
      <c r="H271" s="200"/>
      <c r="I271" s="200"/>
      <c r="J271" s="205"/>
      <c r="K271" s="169"/>
      <c r="L271" s="169"/>
      <c r="M271" s="169"/>
      <c r="N271" s="169"/>
      <c r="O271" s="169"/>
      <c r="P271" s="169"/>
      <c r="Q271" s="169"/>
      <c r="R271" s="169"/>
      <c r="S271" s="169"/>
      <c r="T271" s="169"/>
      <c r="U271" s="169"/>
      <c r="V271" s="169"/>
      <c r="W271" s="169"/>
      <c r="X271" s="169"/>
      <c r="Y271" s="169"/>
      <c r="Z271" s="169"/>
      <c r="AA271" s="169"/>
      <c r="AB271" s="169"/>
      <c r="AC271" s="169"/>
      <c r="AD271" s="169"/>
      <c r="AE271" s="169"/>
      <c r="AF271" s="169"/>
      <c r="AG271" s="169"/>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c r="BD271" s="169"/>
      <c r="BE271" s="169"/>
      <c r="BF271" s="169"/>
      <c r="BG271" s="169"/>
      <c r="BH271" s="169"/>
      <c r="BI271" s="169"/>
      <c r="BJ271" s="169"/>
      <c r="BK271" s="169"/>
      <c r="BL271" s="169"/>
      <c r="BM271" s="169"/>
      <c r="BN271" s="169"/>
      <c r="BO271" s="169"/>
      <c r="BP271" s="169"/>
      <c r="BQ271" s="169"/>
      <c r="BR271" s="169"/>
      <c r="BS271" s="169"/>
      <c r="BT271" s="169"/>
      <c r="BU271" s="169"/>
      <c r="BV271" s="169"/>
      <c r="BW271" s="169"/>
      <c r="BX271" s="169"/>
      <c r="BY271" s="169"/>
      <c r="BZ271" s="169"/>
      <c r="CA271" s="169"/>
      <c r="CB271" s="169"/>
      <c r="CC271" s="169"/>
      <c r="CD271" s="169"/>
      <c r="CE271" s="169"/>
      <c r="CF271" s="169"/>
      <c r="CG271" s="169"/>
      <c r="CH271" s="169"/>
      <c r="CI271" s="169"/>
      <c r="CJ271" s="169"/>
      <c r="CK271" s="169"/>
      <c r="CL271" s="169"/>
      <c r="CM271" s="169"/>
      <c r="CN271" s="169"/>
      <c r="CO271" s="169"/>
      <c r="CP271" s="169"/>
      <c r="CQ271" s="169"/>
      <c r="CR271" s="169"/>
      <c r="CS271" s="169"/>
      <c r="CT271" s="169"/>
      <c r="CU271" s="169"/>
      <c r="CV271" s="169"/>
      <c r="CW271" s="169"/>
      <c r="CX271" s="169"/>
      <c r="CY271" s="169"/>
      <c r="CZ271" s="169"/>
      <c r="DA271" s="169"/>
      <c r="DB271" s="169"/>
      <c r="DC271" s="169"/>
      <c r="DD271" s="169"/>
      <c r="DE271" s="169"/>
      <c r="DF271" s="169"/>
      <c r="DG271" s="169"/>
      <c r="DH271" s="169"/>
      <c r="DI271" s="169"/>
      <c r="DJ271" s="169"/>
      <c r="DK271" s="169"/>
      <c r="DL271" s="169"/>
      <c r="DM271" s="169"/>
      <c r="DN271" s="169"/>
      <c r="DO271" s="169"/>
      <c r="DP271" s="169"/>
      <c r="DQ271" s="169"/>
      <c r="DR271" s="169"/>
      <c r="DS271" s="169"/>
      <c r="DT271" s="169"/>
      <c r="DU271" s="169"/>
      <c r="DV271" s="169"/>
      <c r="DW271" s="169"/>
      <c r="DX271" s="169"/>
      <c r="DY271" s="169"/>
      <c r="DZ271" s="169"/>
      <c r="EA271" s="169"/>
      <c r="EB271" s="169"/>
      <c r="EC271" s="169"/>
      <c r="ED271" s="169"/>
      <c r="EE271" s="169"/>
      <c r="EF271" s="169"/>
      <c r="EG271" s="169"/>
      <c r="EH271" s="169"/>
      <c r="EI271" s="169"/>
      <c r="EJ271" s="169"/>
      <c r="EK271" s="169"/>
      <c r="EL271" s="169"/>
      <c r="EM271" s="169"/>
      <c r="EN271" s="169"/>
      <c r="EO271" s="169"/>
      <c r="EP271" s="169"/>
      <c r="EQ271" s="169"/>
      <c r="ER271" s="169"/>
      <c r="ES271" s="169"/>
      <c r="ET271" s="169"/>
      <c r="EU271" s="169"/>
      <c r="EV271" s="169"/>
      <c r="EW271" s="169"/>
      <c r="EX271" s="169"/>
      <c r="EY271" s="169"/>
      <c r="EZ271" s="169"/>
      <c r="FA271" s="169"/>
      <c r="FB271" s="169"/>
      <c r="FC271" s="169"/>
      <c r="FD271" s="169"/>
      <c r="FE271" s="169"/>
      <c r="FF271" s="169"/>
      <c r="FG271" s="169"/>
      <c r="FH271" s="169"/>
      <c r="FI271" s="169"/>
      <c r="FJ271" s="169"/>
      <c r="FK271" s="169"/>
      <c r="FL271" s="169"/>
      <c r="FM271" s="169"/>
      <c r="FN271" s="169"/>
      <c r="FO271" s="169"/>
      <c r="FP271" s="169"/>
      <c r="FQ271" s="169"/>
      <c r="FR271" s="169"/>
      <c r="FS271" s="169"/>
      <c r="FT271" s="169"/>
      <c r="FU271" s="169"/>
      <c r="FV271" s="169"/>
      <c r="FW271" s="169"/>
      <c r="FX271" s="169"/>
      <c r="FY271" s="169"/>
      <c r="FZ271" s="169"/>
      <c r="GA271" s="169"/>
      <c r="GB271" s="169"/>
      <c r="GC271" s="169"/>
      <c r="GD271" s="169"/>
      <c r="GE271" s="169"/>
      <c r="GF271" s="169"/>
      <c r="GG271" s="169"/>
      <c r="GH271" s="169"/>
      <c r="GI271" s="169"/>
      <c r="GJ271" s="169"/>
      <c r="GK271" s="169"/>
      <c r="GL271" s="169"/>
      <c r="GM271" s="169"/>
      <c r="GN271" s="169"/>
      <c r="GO271" s="169"/>
      <c r="GP271" s="169"/>
      <c r="GQ271" s="169"/>
      <c r="GR271" s="169"/>
      <c r="GS271" s="169"/>
      <c r="GT271" s="169"/>
      <c r="GU271" s="169"/>
      <c r="GV271" s="169"/>
      <c r="GW271" s="169"/>
      <c r="GX271" s="169"/>
      <c r="GY271" s="169"/>
      <c r="GZ271" s="169"/>
      <c r="HA271" s="169"/>
      <c r="HB271" s="169"/>
      <c r="HC271" s="169"/>
      <c r="HD271" s="169"/>
      <c r="HE271" s="169"/>
      <c r="HF271" s="169"/>
      <c r="HG271" s="169"/>
      <c r="HH271" s="169"/>
      <c r="HI271" s="169"/>
      <c r="HJ271" s="169"/>
      <c r="HK271" s="169"/>
      <c r="HL271" s="169"/>
      <c r="HM271" s="169"/>
      <c r="HN271" s="169"/>
      <c r="HO271" s="169"/>
      <c r="HP271" s="169"/>
      <c r="HQ271" s="169"/>
      <c r="HR271" s="169"/>
      <c r="HS271" s="169"/>
      <c r="HT271" s="169"/>
      <c r="HU271" s="169"/>
      <c r="HV271" s="169"/>
      <c r="HW271" s="169"/>
      <c r="HX271" s="169"/>
      <c r="HY271" s="169"/>
      <c r="HZ271" s="169"/>
      <c r="IA271" s="169"/>
      <c r="IB271" s="169"/>
      <c r="IC271" s="169"/>
      <c r="ID271" s="169"/>
      <c r="IE271" s="169"/>
      <c r="IF271" s="169"/>
      <c r="IG271" s="169"/>
      <c r="IH271" s="169"/>
      <c r="II271" s="169"/>
      <c r="IJ271" s="169"/>
      <c r="IK271" s="169"/>
      <c r="IL271" s="169"/>
      <c r="IM271" s="169"/>
      <c r="IN271" s="169"/>
      <c r="IO271" s="169"/>
      <c r="IP271" s="169"/>
      <c r="IQ271" s="169"/>
      <c r="IR271" s="169"/>
      <c r="IS271" s="169"/>
      <c r="IT271" s="169"/>
      <c r="IU271" s="169"/>
      <c r="IV271" s="169"/>
    </row>
    <row r="272" spans="1:256" ht="13.5" thickBot="1" x14ac:dyDescent="0.25"/>
    <row r="273" spans="1:10" ht="13.5" customHeight="1" thickBot="1" x14ac:dyDescent="0.25">
      <c r="A273" s="210" t="s">
        <v>2</v>
      </c>
      <c r="B273" s="210"/>
      <c r="C273" s="211" t="str">
        <f>'[1]Anexo II - Resumo dos Programas'!B18</f>
        <v>Melhoria das Vias Urbanas</v>
      </c>
      <c r="D273" s="211"/>
      <c r="E273" s="211"/>
      <c r="F273" s="211"/>
      <c r="G273" s="211"/>
      <c r="H273" s="211"/>
      <c r="I273" s="211"/>
      <c r="J273" s="211"/>
    </row>
    <row r="274" spans="1:10" ht="12.75" customHeight="1" x14ac:dyDescent="0.2">
      <c r="A274" s="210" t="s">
        <v>4</v>
      </c>
      <c r="B274" s="210"/>
      <c r="C274" s="211" t="s">
        <v>29</v>
      </c>
      <c r="D274" s="211"/>
      <c r="E274" s="211"/>
      <c r="F274" s="211"/>
      <c r="G274" s="211"/>
      <c r="H274" s="211"/>
      <c r="I274" s="211"/>
      <c r="J274" s="211"/>
    </row>
    <row r="275" spans="1:10" x14ac:dyDescent="0.2">
      <c r="A275" s="2"/>
      <c r="B275" s="2"/>
      <c r="C275" s="211"/>
      <c r="D275" s="211"/>
      <c r="E275" s="211"/>
      <c r="F275" s="211"/>
      <c r="G275" s="211"/>
      <c r="H275" s="211"/>
      <c r="I275" s="211"/>
      <c r="J275" s="211"/>
    </row>
    <row r="276" spans="1:10" x14ac:dyDescent="0.2">
      <c r="A276" s="2"/>
      <c r="B276" s="2"/>
      <c r="C276" s="211"/>
      <c r="D276" s="211"/>
      <c r="E276" s="211"/>
      <c r="F276" s="211"/>
      <c r="G276" s="211"/>
      <c r="H276" s="211"/>
      <c r="I276" s="211"/>
      <c r="J276" s="211"/>
    </row>
    <row r="277" spans="1:10" x14ac:dyDescent="0.2">
      <c r="A277" s="2"/>
      <c r="B277" s="2"/>
      <c r="C277" s="211"/>
      <c r="D277" s="211"/>
      <c r="E277" s="211"/>
      <c r="F277" s="211"/>
      <c r="G277" s="211"/>
      <c r="H277" s="211"/>
      <c r="I277" s="211"/>
      <c r="J277" s="211"/>
    </row>
    <row r="278" spans="1:10" x14ac:dyDescent="0.2">
      <c r="A278" s="2"/>
      <c r="B278" s="2"/>
      <c r="C278" s="211"/>
      <c r="D278" s="211"/>
      <c r="E278" s="211"/>
      <c r="F278" s="211"/>
      <c r="G278" s="211"/>
      <c r="H278" s="211"/>
      <c r="I278" s="211"/>
      <c r="J278" s="211"/>
    </row>
    <row r="279" spans="1:10" ht="12.75" customHeight="1" x14ac:dyDescent="0.2">
      <c r="A279" s="212" t="s">
        <v>5</v>
      </c>
      <c r="B279" s="212"/>
      <c r="C279" s="212"/>
      <c r="D279" s="212"/>
      <c r="E279" s="3"/>
      <c r="F279" s="4">
        <v>2026</v>
      </c>
      <c r="G279" s="4">
        <v>2027</v>
      </c>
      <c r="H279" s="34">
        <v>2028</v>
      </c>
      <c r="I279" s="4">
        <v>2029</v>
      </c>
      <c r="J279" s="5" t="s">
        <v>6</v>
      </c>
    </row>
    <row r="280" spans="1:10" ht="12.75" customHeight="1" x14ac:dyDescent="0.2">
      <c r="A280" s="213" t="s">
        <v>7</v>
      </c>
      <c r="B280" s="213"/>
      <c r="C280" s="213"/>
      <c r="D280" s="6"/>
      <c r="E280" s="7"/>
      <c r="F280" s="8">
        <f>F284+F286+F288+F290+F292</f>
        <v>2900000</v>
      </c>
      <c r="G280" s="8">
        <f>G284+G286+G288+G290+G292</f>
        <v>3150000</v>
      </c>
      <c r="H280" s="8">
        <f>H284+H286+H288+H290+H292</f>
        <v>3400000</v>
      </c>
      <c r="I280" s="8">
        <f>I284+I286+I288+I290+I292</f>
        <v>3650000</v>
      </c>
      <c r="J280" s="9">
        <f>SUM(F280:I280)</f>
        <v>13100000</v>
      </c>
    </row>
    <row r="281" spans="1:10" x14ac:dyDescent="0.2">
      <c r="A281" s="10"/>
      <c r="B281" s="11"/>
      <c r="C281" s="206"/>
      <c r="D281" s="206"/>
      <c r="E281" s="206"/>
      <c r="F281" s="12"/>
      <c r="G281" s="12"/>
      <c r="H281" s="35"/>
      <c r="I281" s="12"/>
      <c r="J281" s="13"/>
    </row>
    <row r="282" spans="1:10" ht="12.75" customHeight="1" x14ac:dyDescent="0.2">
      <c r="A282" s="207" t="s">
        <v>8</v>
      </c>
      <c r="B282" s="208" t="s">
        <v>9</v>
      </c>
      <c r="C282" s="208" t="s">
        <v>10</v>
      </c>
      <c r="D282" s="208"/>
      <c r="E282" s="208"/>
      <c r="F282" s="197">
        <f>F279</f>
        <v>2026</v>
      </c>
      <c r="G282" s="197">
        <f>G279</f>
        <v>2027</v>
      </c>
      <c r="H282" s="203">
        <f>H279</f>
        <v>2028</v>
      </c>
      <c r="I282" s="197">
        <f>I279</f>
        <v>2029</v>
      </c>
      <c r="J282" s="204" t="s">
        <v>11</v>
      </c>
    </row>
    <row r="283" spans="1:10" x14ac:dyDescent="0.2">
      <c r="A283" s="207"/>
      <c r="B283" s="208"/>
      <c r="C283" s="208"/>
      <c r="D283" s="208"/>
      <c r="E283" s="208"/>
      <c r="F283" s="197"/>
      <c r="G283" s="197"/>
      <c r="H283" s="203"/>
      <c r="I283" s="197"/>
      <c r="J283" s="204"/>
    </row>
    <row r="284" spans="1:10" x14ac:dyDescent="0.2">
      <c r="A284" s="14" t="s">
        <v>12</v>
      </c>
      <c r="B284" s="197">
        <v>2044</v>
      </c>
      <c r="C284" s="199" t="s">
        <v>230</v>
      </c>
      <c r="D284" s="199"/>
      <c r="E284" s="199"/>
      <c r="F284" s="200">
        <f>'Anexo IV -Projetos e Ativid '!D63</f>
        <v>1300000</v>
      </c>
      <c r="G284" s="200">
        <f>'Anexo IV -Projetos e Ativid '!E63</f>
        <v>1400000</v>
      </c>
      <c r="H284" s="200">
        <f>'Anexo IV -Projetos e Ativid '!F63</f>
        <v>1500000</v>
      </c>
      <c r="I284" s="200">
        <f>'Anexo IV -Projetos e Ativid '!G63</f>
        <v>1600000</v>
      </c>
      <c r="J284" s="205">
        <f>SUM(F284:I284)</f>
        <v>5800000</v>
      </c>
    </row>
    <row r="285" spans="1:10" x14ac:dyDescent="0.2">
      <c r="A285" s="15"/>
      <c r="B285" s="197"/>
      <c r="C285" s="199"/>
      <c r="D285" s="199"/>
      <c r="E285" s="199"/>
      <c r="F285" s="200"/>
      <c r="G285" s="200"/>
      <c r="H285" s="200"/>
      <c r="I285" s="200"/>
      <c r="J285" s="205"/>
    </row>
    <row r="286" spans="1:10" x14ac:dyDescent="0.2">
      <c r="A286" s="14" t="s">
        <v>12</v>
      </c>
      <c r="B286" s="197">
        <v>2046</v>
      </c>
      <c r="C286" s="199" t="str">
        <f>'Anexo IV -Projetos e Ativid '!C65</f>
        <v xml:space="preserve">CONSTRUÇÃO E REVITALIZAÇÃO DE PRAÇAS E LOGRADOUROS PÚBLICOS </v>
      </c>
      <c r="D286" s="199"/>
      <c r="E286" s="199"/>
      <c r="F286" s="200">
        <f>'Anexo IV -Projetos e Ativid '!D65</f>
        <v>400000</v>
      </c>
      <c r="G286" s="200">
        <f>'Anexo IV -Projetos e Ativid '!E65</f>
        <v>450000</v>
      </c>
      <c r="H286" s="200">
        <f>'Anexo IV -Projetos e Ativid '!F65</f>
        <v>500000</v>
      </c>
      <c r="I286" s="200">
        <f>'Anexo IV -Projetos e Ativid '!G65</f>
        <v>550000</v>
      </c>
      <c r="J286" s="205">
        <f>SUM(F286:I286)</f>
        <v>1900000</v>
      </c>
    </row>
    <row r="287" spans="1:10" x14ac:dyDescent="0.2">
      <c r="A287" s="15"/>
      <c r="B287" s="197"/>
      <c r="C287" s="199"/>
      <c r="D287" s="199"/>
      <c r="E287" s="199"/>
      <c r="F287" s="200"/>
      <c r="G287" s="200"/>
      <c r="H287" s="200"/>
      <c r="I287" s="200"/>
      <c r="J287" s="205"/>
    </row>
    <row r="288" spans="1:10" x14ac:dyDescent="0.2">
      <c r="A288" s="14" t="s">
        <v>12</v>
      </c>
      <c r="B288" s="197">
        <v>2047</v>
      </c>
      <c r="C288" s="199" t="str">
        <f>'Anexo IV -Projetos e Ativid '!C67</f>
        <v xml:space="preserve">MELHORIA NO SERVIÇO DE LIMPEZA PÚBLICA </v>
      </c>
      <c r="D288" s="199"/>
      <c r="E288" s="199"/>
      <c r="F288" s="200">
        <f>'Anexo IV -Projetos e Ativid '!D67</f>
        <v>900000</v>
      </c>
      <c r="G288" s="200">
        <f>'Anexo IV -Projetos e Ativid '!E67</f>
        <v>1000000</v>
      </c>
      <c r="H288" s="200">
        <f>'Anexo IV -Projetos e Ativid '!F67</f>
        <v>1100000</v>
      </c>
      <c r="I288" s="200">
        <f>'Anexo IV -Projetos e Ativid '!G67</f>
        <v>1200000</v>
      </c>
      <c r="J288" s="205">
        <f>SUM(F288:I288)</f>
        <v>4200000</v>
      </c>
    </row>
    <row r="289" spans="1:10" x14ac:dyDescent="0.2">
      <c r="A289" s="15"/>
      <c r="B289" s="197"/>
      <c r="C289" s="199"/>
      <c r="D289" s="199"/>
      <c r="E289" s="199"/>
      <c r="F289" s="200"/>
      <c r="G289" s="200"/>
      <c r="H289" s="200"/>
      <c r="I289" s="200"/>
      <c r="J289" s="205"/>
    </row>
    <row r="290" spans="1:10" x14ac:dyDescent="0.2">
      <c r="A290" s="14" t="s">
        <v>14</v>
      </c>
      <c r="B290" s="197">
        <v>3012</v>
      </c>
      <c r="C290" s="199" t="s">
        <v>233</v>
      </c>
      <c r="D290" s="199"/>
      <c r="E290" s="199"/>
      <c r="F290" s="200">
        <f>'Anexo IV -Projetos e Ativid '!D68</f>
        <v>200000</v>
      </c>
      <c r="G290" s="200">
        <f>'Anexo IV -Projetos e Ativid '!E68</f>
        <v>200000</v>
      </c>
      <c r="H290" s="200">
        <f>'Anexo IV -Projetos e Ativid '!F68</f>
        <v>200000</v>
      </c>
      <c r="I290" s="200">
        <f>'Anexo IV -Projetos e Ativid '!G68</f>
        <v>200000</v>
      </c>
      <c r="J290" s="205">
        <f>SUM(F290:I290)</f>
        <v>800000</v>
      </c>
    </row>
    <row r="291" spans="1:10" ht="13.5" thickBot="1" x14ac:dyDescent="0.25">
      <c r="A291" s="15"/>
      <c r="B291" s="197"/>
      <c r="C291" s="199"/>
      <c r="D291" s="199"/>
      <c r="E291" s="199"/>
      <c r="F291" s="200"/>
      <c r="G291" s="200"/>
      <c r="H291" s="200"/>
      <c r="I291" s="200"/>
      <c r="J291" s="205"/>
    </row>
    <row r="292" spans="1:10" ht="13.5" thickBot="1" x14ac:dyDescent="0.25">
      <c r="A292" s="18" t="s">
        <v>12</v>
      </c>
      <c r="B292" s="197">
        <v>2098</v>
      </c>
      <c r="C292" s="199" t="s">
        <v>336</v>
      </c>
      <c r="D292" s="199"/>
      <c r="E292" s="199"/>
      <c r="F292" s="200">
        <f>'Anexo IV -Projetos e Ativid '!D66</f>
        <v>100000</v>
      </c>
      <c r="G292" s="200">
        <f>'Anexo IV -Projetos e Ativid '!E66</f>
        <v>100000</v>
      </c>
      <c r="H292" s="200">
        <f>'Anexo IV -Projetos e Ativid '!F66</f>
        <v>100000</v>
      </c>
      <c r="I292" s="200">
        <f>'Anexo IV -Projetos e Ativid '!G66</f>
        <v>100000</v>
      </c>
      <c r="J292" s="205">
        <f>SUM(F292:I292)</f>
        <v>400000</v>
      </c>
    </row>
    <row r="293" spans="1:10" ht="13.5" thickBot="1" x14ac:dyDescent="0.25">
      <c r="A293" s="131"/>
      <c r="B293" s="197"/>
      <c r="C293" s="199"/>
      <c r="D293" s="199"/>
      <c r="E293" s="199"/>
      <c r="F293" s="200"/>
      <c r="G293" s="200"/>
      <c r="H293" s="200"/>
      <c r="I293" s="200"/>
      <c r="J293" s="205"/>
    </row>
    <row r="294" spans="1:10" ht="13.5" thickBot="1" x14ac:dyDescent="0.25"/>
    <row r="295" spans="1:10" ht="13.5" customHeight="1" thickBot="1" x14ac:dyDescent="0.25">
      <c r="A295" s="210" t="s">
        <v>2</v>
      </c>
      <c r="B295" s="210"/>
      <c r="C295" s="211" t="str">
        <f>'[1]Anexo II - Resumo dos Programas'!B19</f>
        <v>Gestão Ambiental</v>
      </c>
      <c r="D295" s="211"/>
      <c r="E295" s="211"/>
      <c r="F295" s="211"/>
      <c r="G295" s="211"/>
      <c r="H295" s="211"/>
      <c r="I295" s="211"/>
      <c r="J295" s="211"/>
    </row>
    <row r="296" spans="1:10" ht="12.75" customHeight="1" x14ac:dyDescent="0.2">
      <c r="A296" s="210" t="s">
        <v>4</v>
      </c>
      <c r="B296" s="210"/>
      <c r="C296" s="211" t="s">
        <v>30</v>
      </c>
      <c r="D296" s="211"/>
      <c r="E296" s="211"/>
      <c r="F296" s="211"/>
      <c r="G296" s="211"/>
      <c r="H296" s="211"/>
      <c r="I296" s="211"/>
      <c r="J296" s="211"/>
    </row>
    <row r="297" spans="1:10" x14ac:dyDescent="0.2">
      <c r="A297" s="2"/>
      <c r="B297" s="2"/>
      <c r="C297" s="211"/>
      <c r="D297" s="211"/>
      <c r="E297" s="211"/>
      <c r="F297" s="211"/>
      <c r="G297" s="211"/>
      <c r="H297" s="211"/>
      <c r="I297" s="211"/>
      <c r="J297" s="211"/>
    </row>
    <row r="298" spans="1:10" x14ac:dyDescent="0.2">
      <c r="A298" s="2"/>
      <c r="B298" s="2"/>
      <c r="C298" s="211"/>
      <c r="D298" s="211"/>
      <c r="E298" s="211"/>
      <c r="F298" s="211"/>
      <c r="G298" s="211"/>
      <c r="H298" s="211"/>
      <c r="I298" s="211"/>
      <c r="J298" s="211"/>
    </row>
    <row r="299" spans="1:10" x14ac:dyDescent="0.2">
      <c r="A299" s="2"/>
      <c r="B299" s="2"/>
      <c r="C299" s="211"/>
      <c r="D299" s="211"/>
      <c r="E299" s="211"/>
      <c r="F299" s="211"/>
      <c r="G299" s="211"/>
      <c r="H299" s="211"/>
      <c r="I299" s="211"/>
      <c r="J299" s="211"/>
    </row>
    <row r="300" spans="1:10" x14ac:dyDescent="0.2">
      <c r="A300" s="2"/>
      <c r="B300" s="2"/>
      <c r="C300" s="211"/>
      <c r="D300" s="211"/>
      <c r="E300" s="211"/>
      <c r="F300" s="211"/>
      <c r="G300" s="211"/>
      <c r="H300" s="211"/>
      <c r="I300" s="211"/>
      <c r="J300" s="211"/>
    </row>
    <row r="301" spans="1:10" x14ac:dyDescent="0.2">
      <c r="A301" s="2"/>
      <c r="B301" s="2"/>
      <c r="C301" s="211"/>
      <c r="D301" s="211"/>
      <c r="E301" s="211"/>
      <c r="F301" s="211"/>
      <c r="G301" s="211"/>
      <c r="H301" s="211"/>
      <c r="I301" s="211"/>
      <c r="J301" s="211"/>
    </row>
    <row r="302" spans="1:10" x14ac:dyDescent="0.2">
      <c r="A302" s="2"/>
      <c r="B302" s="2"/>
      <c r="C302" s="211"/>
      <c r="D302" s="211"/>
      <c r="E302" s="211"/>
      <c r="F302" s="211"/>
      <c r="G302" s="211"/>
      <c r="H302" s="211"/>
      <c r="I302" s="211"/>
      <c r="J302" s="211"/>
    </row>
    <row r="303" spans="1:10" ht="12.75" customHeight="1" x14ac:dyDescent="0.2">
      <c r="A303" s="212" t="s">
        <v>5</v>
      </c>
      <c r="B303" s="212"/>
      <c r="C303" s="212"/>
      <c r="D303" s="212"/>
      <c r="E303" s="3"/>
      <c r="F303" s="4">
        <v>2026</v>
      </c>
      <c r="G303" s="4">
        <v>2027</v>
      </c>
      <c r="H303" s="34">
        <v>2028</v>
      </c>
      <c r="I303" s="4">
        <v>2029</v>
      </c>
      <c r="J303" s="5" t="s">
        <v>6</v>
      </c>
    </row>
    <row r="304" spans="1:10" ht="12.75" customHeight="1" x14ac:dyDescent="0.2">
      <c r="A304" s="213" t="s">
        <v>7</v>
      </c>
      <c r="B304" s="213"/>
      <c r="C304" s="213"/>
      <c r="D304" s="6"/>
      <c r="E304" s="7"/>
      <c r="F304" s="8">
        <f>F308+F310+F312+F314+F316+F318+F320</f>
        <v>4514000</v>
      </c>
      <c r="G304" s="8">
        <f>G308+G310+G312+G314+G316+G318+G320</f>
        <v>4644000</v>
      </c>
      <c r="H304" s="105">
        <f>H308+H310+H312+H314+H316+H318+H320</f>
        <v>4854000</v>
      </c>
      <c r="I304" s="8">
        <f>I308+I310+I312+I314+I316+I318+I320</f>
        <v>5094000</v>
      </c>
      <c r="J304" s="9">
        <f>SUM(F304:I304)</f>
        <v>19106000</v>
      </c>
    </row>
    <row r="305" spans="1:10" x14ac:dyDescent="0.2">
      <c r="A305" s="10"/>
      <c r="B305" s="11"/>
      <c r="C305" s="206"/>
      <c r="D305" s="206"/>
      <c r="E305" s="206"/>
      <c r="F305" s="12"/>
      <c r="G305" s="12"/>
      <c r="H305" s="35"/>
      <c r="I305" s="12"/>
      <c r="J305" s="13"/>
    </row>
    <row r="306" spans="1:10" ht="12.75" customHeight="1" x14ac:dyDescent="0.2">
      <c r="A306" s="207" t="s">
        <v>8</v>
      </c>
      <c r="B306" s="208" t="s">
        <v>9</v>
      </c>
      <c r="C306" s="208" t="s">
        <v>10</v>
      </c>
      <c r="D306" s="208"/>
      <c r="E306" s="208"/>
      <c r="F306" s="197">
        <f>F303</f>
        <v>2026</v>
      </c>
      <c r="G306" s="197">
        <f>G303</f>
        <v>2027</v>
      </c>
      <c r="H306" s="203">
        <f>H303</f>
        <v>2028</v>
      </c>
      <c r="I306" s="197">
        <f>I303</f>
        <v>2029</v>
      </c>
      <c r="J306" s="204" t="s">
        <v>11</v>
      </c>
    </row>
    <row r="307" spans="1:10" x14ac:dyDescent="0.2">
      <c r="A307" s="207"/>
      <c r="B307" s="208"/>
      <c r="C307" s="208"/>
      <c r="D307" s="208"/>
      <c r="E307" s="208"/>
      <c r="F307" s="197"/>
      <c r="G307" s="197"/>
      <c r="H307" s="203"/>
      <c r="I307" s="197"/>
      <c r="J307" s="204"/>
    </row>
    <row r="308" spans="1:10" x14ac:dyDescent="0.2">
      <c r="A308" s="14" t="s">
        <v>12</v>
      </c>
      <c r="B308" s="197">
        <v>2048</v>
      </c>
      <c r="C308" s="199" t="str">
        <f>'Anexo IV -Projetos e Ativid '!C73</f>
        <v>MANUTENÇÃO DAS ATIVIDADES DA SECRETARIA DE MEIO AMBIENTE</v>
      </c>
      <c r="D308" s="199"/>
      <c r="E308" s="199"/>
      <c r="F308" s="200">
        <f>'Anexo IV -Projetos e Ativid '!D73</f>
        <v>1250000</v>
      </c>
      <c r="G308" s="200">
        <f>'Anexo IV -Projetos e Ativid '!E73</f>
        <v>1300000</v>
      </c>
      <c r="H308" s="200">
        <f>'Anexo IV -Projetos e Ativid '!F73</f>
        <v>1350000</v>
      </c>
      <c r="I308" s="200">
        <f>'Anexo IV -Projetos e Ativid '!G73</f>
        <v>1400000</v>
      </c>
      <c r="J308" s="205">
        <f>SUM(F308:I308)</f>
        <v>5300000</v>
      </c>
    </row>
    <row r="309" spans="1:10" x14ac:dyDescent="0.2">
      <c r="A309" s="15"/>
      <c r="B309" s="197"/>
      <c r="C309" s="199"/>
      <c r="D309" s="199"/>
      <c r="E309" s="199"/>
      <c r="F309" s="200"/>
      <c r="G309" s="200"/>
      <c r="H309" s="200"/>
      <c r="I309" s="200"/>
      <c r="J309" s="205"/>
    </row>
    <row r="310" spans="1:10" x14ac:dyDescent="0.2">
      <c r="A310" s="14" t="s">
        <v>12</v>
      </c>
      <c r="B310" s="197">
        <v>2050</v>
      </c>
      <c r="C310" s="199" t="str">
        <f>'Anexo IV -Projetos e Ativid '!C74</f>
        <v>PROGRAMA CONSCIÊNCIA ECOLÓGICA/EDUCAÇÃO AMBIENTAL</v>
      </c>
      <c r="D310" s="199"/>
      <c r="E310" s="199"/>
      <c r="F310" s="200">
        <f>'Anexo IV -Projetos e Ativid '!D74</f>
        <v>6000</v>
      </c>
      <c r="G310" s="200">
        <f>'Anexo IV -Projetos e Ativid '!E74</f>
        <v>6000</v>
      </c>
      <c r="H310" s="200">
        <f>'Anexo IV -Projetos e Ativid '!F74</f>
        <v>6000</v>
      </c>
      <c r="I310" s="200">
        <f>'Anexo IV -Projetos e Ativid '!G74</f>
        <v>6000</v>
      </c>
      <c r="J310" s="205">
        <f>SUM(F310:I310)</f>
        <v>24000</v>
      </c>
    </row>
    <row r="311" spans="1:10" x14ac:dyDescent="0.2">
      <c r="A311" s="15"/>
      <c r="B311" s="197"/>
      <c r="C311" s="199"/>
      <c r="D311" s="199"/>
      <c r="E311" s="199"/>
      <c r="F311" s="200"/>
      <c r="G311" s="200"/>
      <c r="H311" s="200"/>
      <c r="I311" s="200"/>
      <c r="J311" s="205"/>
    </row>
    <row r="312" spans="1:10" x14ac:dyDescent="0.2">
      <c r="A312" s="14" t="s">
        <v>12</v>
      </c>
      <c r="B312" s="197">
        <v>2051</v>
      </c>
      <c r="C312" s="199" t="s">
        <v>236</v>
      </c>
      <c r="D312" s="199"/>
      <c r="E312" s="199"/>
      <c r="F312" s="200">
        <f>'Anexo IV -Projetos e Ativid '!D75</f>
        <v>2950000</v>
      </c>
      <c r="G312" s="200">
        <f>'Anexo IV -Projetos e Ativid '!E75</f>
        <v>3100000</v>
      </c>
      <c r="H312" s="200">
        <f>'Anexo IV -Projetos e Ativid '!F75</f>
        <v>3250000</v>
      </c>
      <c r="I312" s="200">
        <f>'Anexo IV -Projetos e Ativid '!G75</f>
        <v>3400000</v>
      </c>
      <c r="J312" s="205">
        <f>SUM(F312:I312)</f>
        <v>12700000</v>
      </c>
    </row>
    <row r="313" spans="1:10" x14ac:dyDescent="0.2">
      <c r="A313" s="15"/>
      <c r="B313" s="197"/>
      <c r="C313" s="199"/>
      <c r="D313" s="199"/>
      <c r="E313" s="199"/>
      <c r="F313" s="200"/>
      <c r="G313" s="200"/>
      <c r="H313" s="200"/>
      <c r="I313" s="200"/>
      <c r="J313" s="205"/>
    </row>
    <row r="314" spans="1:10" x14ac:dyDescent="0.2">
      <c r="A314" s="14" t="s">
        <v>12</v>
      </c>
      <c r="B314" s="197">
        <v>2053</v>
      </c>
      <c r="C314" s="199" t="s">
        <v>289</v>
      </c>
      <c r="D314" s="199"/>
      <c r="E314" s="199"/>
      <c r="F314" s="200">
        <f>'Anexo IV -Projetos e Ativid '!D76</f>
        <v>50000</v>
      </c>
      <c r="G314" s="200">
        <f>'Anexo IV -Projetos e Ativid '!E76</f>
        <v>60000</v>
      </c>
      <c r="H314" s="200">
        <f>'Anexo IV -Projetos e Ativid '!F76</f>
        <v>70000</v>
      </c>
      <c r="I314" s="200">
        <f>'Anexo IV -Projetos e Ativid '!G76</f>
        <v>80000</v>
      </c>
      <c r="J314" s="205">
        <f>SUM(F314:I314)</f>
        <v>260000</v>
      </c>
    </row>
    <row r="315" spans="1:10" x14ac:dyDescent="0.2">
      <c r="A315" s="15"/>
      <c r="B315" s="197"/>
      <c r="C315" s="199"/>
      <c r="D315" s="199"/>
      <c r="E315" s="199"/>
      <c r="F315" s="200"/>
      <c r="G315" s="200"/>
      <c r="H315" s="200"/>
      <c r="I315" s="200"/>
      <c r="J315" s="205"/>
    </row>
    <row r="316" spans="1:10" x14ac:dyDescent="0.2">
      <c r="A316" s="14" t="s">
        <v>12</v>
      </c>
      <c r="B316" s="197">
        <v>2054</v>
      </c>
      <c r="C316" s="199" t="str">
        <f>'Anexo IV -Projetos e Ativid '!C77</f>
        <v>PROJETOS AMBIENTAIS</v>
      </c>
      <c r="D316" s="199"/>
      <c r="E316" s="199"/>
      <c r="F316" s="200">
        <f>'Anexo IV -Projetos e Ativid '!D77</f>
        <v>8000</v>
      </c>
      <c r="G316" s="200">
        <f>'Anexo IV -Projetos e Ativid '!E77</f>
        <v>8000</v>
      </c>
      <c r="H316" s="200">
        <f>'Anexo IV -Projetos e Ativid '!F77</f>
        <v>8000</v>
      </c>
      <c r="I316" s="200">
        <f>'Anexo IV -Projetos e Ativid '!G77</f>
        <v>8000</v>
      </c>
      <c r="J316" s="205">
        <f>SUM(F316:I316)</f>
        <v>32000</v>
      </c>
    </row>
    <row r="317" spans="1:10" x14ac:dyDescent="0.2">
      <c r="A317" s="15"/>
      <c r="B317" s="197"/>
      <c r="C317" s="199"/>
      <c r="D317" s="199"/>
      <c r="E317" s="199"/>
      <c r="F317" s="200"/>
      <c r="G317" s="200"/>
      <c r="H317" s="200"/>
      <c r="I317" s="200"/>
      <c r="J317" s="205"/>
    </row>
    <row r="318" spans="1:10" x14ac:dyDescent="0.2">
      <c r="A318" s="14" t="s">
        <v>12</v>
      </c>
      <c r="B318" s="197">
        <f>'Anexo IV -Projetos e Ativid '!B78</f>
        <v>2052</v>
      </c>
      <c r="C318" s="199" t="str">
        <f>'Anexo IV -Projetos e Ativid '!C78</f>
        <v>PROTEÇÃO E SAÚDE ANIMAL</v>
      </c>
      <c r="D318" s="199"/>
      <c r="E318" s="199"/>
      <c r="F318" s="200">
        <f>'Anexo IV -Projetos e Ativid '!D78</f>
        <v>200000</v>
      </c>
      <c r="G318" s="200">
        <f>'Anexo IV -Projetos e Ativid '!E78</f>
        <v>120000</v>
      </c>
      <c r="H318" s="200">
        <f>'Anexo IV -Projetos e Ativid '!F78</f>
        <v>120000</v>
      </c>
      <c r="I318" s="200">
        <f>'Anexo IV -Projetos e Ativid '!G78</f>
        <v>150000</v>
      </c>
      <c r="J318" s="205">
        <f>SUM(F318:I318)</f>
        <v>590000</v>
      </c>
    </row>
    <row r="319" spans="1:10" x14ac:dyDescent="0.2">
      <c r="A319" s="15"/>
      <c r="B319" s="197"/>
      <c r="C319" s="199"/>
      <c r="D319" s="199"/>
      <c r="E319" s="199"/>
      <c r="F319" s="200"/>
      <c r="G319" s="200"/>
      <c r="H319" s="200"/>
      <c r="I319" s="200"/>
      <c r="J319" s="205"/>
    </row>
    <row r="320" spans="1:10" x14ac:dyDescent="0.2">
      <c r="A320" s="14" t="s">
        <v>14</v>
      </c>
      <c r="B320" s="197">
        <f>'Anexo IV -Projetos e Ativid '!B79</f>
        <v>3028</v>
      </c>
      <c r="C320" s="199" t="str">
        <f>'Anexo IV -Projetos e Ativid '!C79</f>
        <v>AQUISIÇÃO ÁREA INTERESSE</v>
      </c>
      <c r="D320" s="199"/>
      <c r="E320" s="199"/>
      <c r="F320" s="200">
        <f>'Anexo IV -Projetos e Ativid '!D79</f>
        <v>50000</v>
      </c>
      <c r="G320" s="200">
        <f>'Anexo IV -Projetos e Ativid '!E79</f>
        <v>50000</v>
      </c>
      <c r="H320" s="200">
        <f>'Anexo IV -Projetos e Ativid '!F79</f>
        <v>50000</v>
      </c>
      <c r="I320" s="200">
        <f>'Anexo IV -Projetos e Ativid '!G79</f>
        <v>50000</v>
      </c>
      <c r="J320" s="205">
        <f>SUM(F320:I320)</f>
        <v>200000</v>
      </c>
    </row>
    <row r="321" spans="1:10" x14ac:dyDescent="0.2">
      <c r="A321" s="15"/>
      <c r="B321" s="197"/>
      <c r="C321" s="199"/>
      <c r="D321" s="199"/>
      <c r="E321" s="199"/>
      <c r="F321" s="200"/>
      <c r="G321" s="200"/>
      <c r="H321" s="200"/>
      <c r="I321" s="200"/>
      <c r="J321" s="205"/>
    </row>
    <row r="323" spans="1:10" ht="13.5" customHeight="1" x14ac:dyDescent="0.2">
      <c r="A323" s="210" t="s">
        <v>2</v>
      </c>
      <c r="B323" s="210"/>
      <c r="C323" s="211" t="str">
        <f>'[1]Anexo II - Resumo dos Programas'!B20</f>
        <v>Saúde com Qualidade</v>
      </c>
      <c r="D323" s="211"/>
      <c r="E323" s="211"/>
      <c r="F323" s="211"/>
      <c r="G323" s="211"/>
      <c r="H323" s="211"/>
      <c r="I323" s="211"/>
      <c r="J323" s="211"/>
    </row>
    <row r="324" spans="1:10" ht="12.75" customHeight="1" x14ac:dyDescent="0.2">
      <c r="A324" s="210" t="s">
        <v>4</v>
      </c>
      <c r="B324" s="210"/>
      <c r="C324" s="211" t="s">
        <v>31</v>
      </c>
      <c r="D324" s="211"/>
      <c r="E324" s="211"/>
      <c r="F324" s="211"/>
      <c r="G324" s="211"/>
      <c r="H324" s="211"/>
      <c r="I324" s="211"/>
      <c r="J324" s="211"/>
    </row>
    <row r="325" spans="1:10" x14ac:dyDescent="0.2">
      <c r="A325" s="2"/>
      <c r="B325" s="2"/>
      <c r="C325" s="211"/>
      <c r="D325" s="211"/>
      <c r="E325" s="211"/>
      <c r="F325" s="211"/>
      <c r="G325" s="211"/>
      <c r="H325" s="211"/>
      <c r="I325" s="211"/>
      <c r="J325" s="211"/>
    </row>
    <row r="326" spans="1:10" x14ac:dyDescent="0.2">
      <c r="A326" s="2"/>
      <c r="B326" s="2"/>
      <c r="C326" s="211"/>
      <c r="D326" s="211"/>
      <c r="E326" s="211"/>
      <c r="F326" s="211"/>
      <c r="G326" s="211"/>
      <c r="H326" s="211"/>
      <c r="I326" s="211"/>
      <c r="J326" s="211"/>
    </row>
    <row r="327" spans="1:10" x14ac:dyDescent="0.2">
      <c r="A327" s="2"/>
      <c r="B327" s="2"/>
      <c r="C327" s="211"/>
      <c r="D327" s="211"/>
      <c r="E327" s="211"/>
      <c r="F327" s="211"/>
      <c r="G327" s="211"/>
      <c r="H327" s="211"/>
      <c r="I327" s="211"/>
      <c r="J327" s="211"/>
    </row>
    <row r="328" spans="1:10" x14ac:dyDescent="0.2">
      <c r="A328" s="2"/>
      <c r="B328" s="2"/>
      <c r="C328" s="211"/>
      <c r="D328" s="211"/>
      <c r="E328" s="211"/>
      <c r="F328" s="211"/>
      <c r="G328" s="211"/>
      <c r="H328" s="211"/>
      <c r="I328" s="211"/>
      <c r="J328" s="211"/>
    </row>
    <row r="329" spans="1:10" ht="12.75" customHeight="1" x14ac:dyDescent="0.2">
      <c r="A329" s="212" t="s">
        <v>5</v>
      </c>
      <c r="B329" s="212"/>
      <c r="C329" s="212"/>
      <c r="D329" s="212"/>
      <c r="E329" s="3"/>
      <c r="F329" s="4">
        <v>2026</v>
      </c>
      <c r="G329" s="4">
        <v>2027</v>
      </c>
      <c r="H329" s="34">
        <v>2028</v>
      </c>
      <c r="I329" s="4">
        <v>2029</v>
      </c>
      <c r="J329" s="5" t="s">
        <v>6</v>
      </c>
    </row>
    <row r="330" spans="1:10" ht="12.75" customHeight="1" x14ac:dyDescent="0.2">
      <c r="A330" s="213" t="s">
        <v>7</v>
      </c>
      <c r="B330" s="213"/>
      <c r="C330" s="213"/>
      <c r="D330" s="6"/>
      <c r="E330" s="7"/>
      <c r="F330" s="8">
        <f>SUM(F334:F359)</f>
        <v>26713000</v>
      </c>
      <c r="G330" s="8">
        <f>SUM(G334:G359)</f>
        <v>28386000</v>
      </c>
      <c r="H330" s="8">
        <f>SUM(H334:H359)</f>
        <v>30059000</v>
      </c>
      <c r="I330" s="8">
        <f>SUM(I334:I359)</f>
        <v>31182000</v>
      </c>
      <c r="J330" s="9">
        <f>SUM(F330:I330)</f>
        <v>116340000</v>
      </c>
    </row>
    <row r="331" spans="1:10" x14ac:dyDescent="0.2">
      <c r="A331" s="10"/>
      <c r="B331" s="11"/>
      <c r="C331" s="206"/>
      <c r="D331" s="206"/>
      <c r="E331" s="206"/>
      <c r="F331" s="12"/>
      <c r="G331" s="12"/>
      <c r="H331" s="35"/>
      <c r="I331" s="12"/>
      <c r="J331" s="13"/>
    </row>
    <row r="332" spans="1:10" ht="12.75" customHeight="1" x14ac:dyDescent="0.2">
      <c r="A332" s="207" t="s">
        <v>8</v>
      </c>
      <c r="B332" s="208" t="s">
        <v>9</v>
      </c>
      <c r="C332" s="208" t="s">
        <v>10</v>
      </c>
      <c r="D332" s="208"/>
      <c r="E332" s="208"/>
      <c r="F332" s="197">
        <f>F329</f>
        <v>2026</v>
      </c>
      <c r="G332" s="197">
        <f>G329</f>
        <v>2027</v>
      </c>
      <c r="H332" s="203">
        <f>H329</f>
        <v>2028</v>
      </c>
      <c r="I332" s="197">
        <f>I329</f>
        <v>2029</v>
      </c>
      <c r="J332" s="204" t="s">
        <v>11</v>
      </c>
    </row>
    <row r="333" spans="1:10" x14ac:dyDescent="0.2">
      <c r="A333" s="207"/>
      <c r="B333" s="208"/>
      <c r="C333" s="208"/>
      <c r="D333" s="208"/>
      <c r="E333" s="208"/>
      <c r="F333" s="197"/>
      <c r="G333" s="197"/>
      <c r="H333" s="203"/>
      <c r="I333" s="197"/>
      <c r="J333" s="204"/>
    </row>
    <row r="334" spans="1:10" x14ac:dyDescent="0.2">
      <c r="A334" s="14" t="s">
        <v>12</v>
      </c>
      <c r="B334" s="197">
        <v>2061</v>
      </c>
      <c r="C334" s="199" t="s">
        <v>278</v>
      </c>
      <c r="D334" s="199"/>
      <c r="E334" s="199"/>
      <c r="F334" s="200">
        <f>'Anexo IV -Projetos e Ativid '!D91</f>
        <v>15300000</v>
      </c>
      <c r="G334" s="200">
        <f>'Anexo IV -Projetos e Ativid '!E91</f>
        <v>15400000</v>
      </c>
      <c r="H334" s="200">
        <f>'Anexo IV -Projetos e Ativid '!F91</f>
        <v>15500000</v>
      </c>
      <c r="I334" s="200">
        <f>'Anexo IV -Projetos e Ativid '!G91</f>
        <v>15650000</v>
      </c>
      <c r="J334" s="202">
        <f>SUM(F334:I334)</f>
        <v>61850000</v>
      </c>
    </row>
    <row r="335" spans="1:10" ht="13.5" thickBot="1" x14ac:dyDescent="0.25">
      <c r="A335" s="15"/>
      <c r="B335" s="197"/>
      <c r="C335" s="199"/>
      <c r="D335" s="199"/>
      <c r="E335" s="199"/>
      <c r="F335" s="200"/>
      <c r="G335" s="200"/>
      <c r="H335" s="200"/>
      <c r="I335" s="200"/>
      <c r="J335" s="202"/>
    </row>
    <row r="336" spans="1:10" ht="13.5" thickBot="1" x14ac:dyDescent="0.25">
      <c r="A336" s="14" t="s">
        <v>12</v>
      </c>
      <c r="B336" s="197">
        <v>2139</v>
      </c>
      <c r="C336" s="199" t="s">
        <v>288</v>
      </c>
      <c r="D336" s="199"/>
      <c r="E336" s="199"/>
      <c r="F336" s="200">
        <f>'Anexo IV -Projetos e Ativid '!D92</f>
        <v>5000</v>
      </c>
      <c r="G336" s="200">
        <f>'Anexo IV -Projetos e Ativid '!E92</f>
        <v>5000</v>
      </c>
      <c r="H336" s="200">
        <f>'Anexo IV -Projetos e Ativid '!F92</f>
        <v>5000</v>
      </c>
      <c r="I336" s="200">
        <f>'Anexo IV -Projetos e Ativid '!G92</f>
        <v>5000</v>
      </c>
      <c r="J336" s="202">
        <f>SUM(F336:I336)</f>
        <v>20000</v>
      </c>
    </row>
    <row r="337" spans="1:10" ht="13.5" thickBot="1" x14ac:dyDescent="0.25">
      <c r="A337" s="15"/>
      <c r="B337" s="197"/>
      <c r="C337" s="199"/>
      <c r="D337" s="199"/>
      <c r="E337" s="199"/>
      <c r="F337" s="200"/>
      <c r="G337" s="200"/>
      <c r="H337" s="200"/>
      <c r="I337" s="200"/>
      <c r="J337" s="202"/>
    </row>
    <row r="338" spans="1:10" ht="13.5" thickBot="1" x14ac:dyDescent="0.25">
      <c r="A338" s="14" t="s">
        <v>12</v>
      </c>
      <c r="B338" s="197">
        <v>2063</v>
      </c>
      <c r="C338" s="199" t="str">
        <f>'Anexo IV -Projetos e Ativid '!C93</f>
        <v xml:space="preserve">VIGILÂNCIA EM SAÚDE </v>
      </c>
      <c r="D338" s="199"/>
      <c r="E338" s="199"/>
      <c r="F338" s="200">
        <f>'Anexo IV -Projetos e Ativid '!D93</f>
        <v>150000</v>
      </c>
      <c r="G338" s="200">
        <f>'Anexo IV -Projetos e Ativid '!E93</f>
        <v>150000</v>
      </c>
      <c r="H338" s="200">
        <f>'Anexo IV -Projetos e Ativid '!F93</f>
        <v>150000</v>
      </c>
      <c r="I338" s="200">
        <f>'Anexo IV -Projetos e Ativid '!G93</f>
        <v>150000</v>
      </c>
      <c r="J338" s="217">
        <f>SUM(F338:I338)</f>
        <v>600000</v>
      </c>
    </row>
    <row r="339" spans="1:10" x14ac:dyDescent="0.2">
      <c r="A339" s="15"/>
      <c r="B339" s="197"/>
      <c r="C339" s="199"/>
      <c r="D339" s="199"/>
      <c r="E339" s="199"/>
      <c r="F339" s="200"/>
      <c r="G339" s="200"/>
      <c r="H339" s="200"/>
      <c r="I339" s="200"/>
      <c r="J339" s="217"/>
    </row>
    <row r="340" spans="1:10" x14ac:dyDescent="0.2">
      <c r="A340" s="14" t="s">
        <v>12</v>
      </c>
      <c r="B340" s="197">
        <v>2065</v>
      </c>
      <c r="C340" s="199" t="s">
        <v>279</v>
      </c>
      <c r="D340" s="199"/>
      <c r="E340" s="199"/>
      <c r="F340" s="200">
        <f>'Anexo IV -Projetos e Ativid '!D94</f>
        <v>3400000</v>
      </c>
      <c r="G340" s="200">
        <f>'Anexo IV -Projetos e Ativid '!E94</f>
        <v>3700000</v>
      </c>
      <c r="H340" s="200">
        <f>'Anexo IV -Projetos e Ativid '!F94</f>
        <v>4000000</v>
      </c>
      <c r="I340" s="200">
        <f>'Anexo IV -Projetos e Ativid '!G94</f>
        <v>4300000</v>
      </c>
      <c r="J340" s="217">
        <f>SUM(F340:I340)</f>
        <v>15400000</v>
      </c>
    </row>
    <row r="341" spans="1:10" x14ac:dyDescent="0.2">
      <c r="A341" s="15"/>
      <c r="B341" s="197"/>
      <c r="C341" s="199"/>
      <c r="D341" s="199"/>
      <c r="E341" s="199"/>
      <c r="F341" s="200"/>
      <c r="G341" s="200"/>
      <c r="H341" s="200"/>
      <c r="I341" s="200"/>
      <c r="J341" s="217"/>
    </row>
    <row r="342" spans="1:10" x14ac:dyDescent="0.2">
      <c r="A342" s="14" t="s">
        <v>12</v>
      </c>
      <c r="B342" s="197">
        <v>2066</v>
      </c>
      <c r="C342" s="199" t="s">
        <v>280</v>
      </c>
      <c r="D342" s="199"/>
      <c r="E342" s="199"/>
      <c r="F342" s="200">
        <f>'Anexo IV -Projetos e Ativid '!D95</f>
        <v>1000000</v>
      </c>
      <c r="G342" s="200">
        <f>'Anexo IV -Projetos e Ativid '!E95</f>
        <v>500000</v>
      </c>
      <c r="H342" s="200">
        <f>'Anexo IV -Projetos e Ativid '!F95</f>
        <v>600000</v>
      </c>
      <c r="I342" s="200">
        <f>'Anexo IV -Projetos e Ativid '!G95</f>
        <v>400000</v>
      </c>
      <c r="J342" s="217">
        <f>SUM(F342:I342)</f>
        <v>2500000</v>
      </c>
    </row>
    <row r="343" spans="1:10" x14ac:dyDescent="0.2">
      <c r="A343" s="15"/>
      <c r="B343" s="197"/>
      <c r="C343" s="199"/>
      <c r="D343" s="199"/>
      <c r="E343" s="199"/>
      <c r="F343" s="200"/>
      <c r="G343" s="200"/>
      <c r="H343" s="200"/>
      <c r="I343" s="200"/>
      <c r="J343" s="217"/>
    </row>
    <row r="344" spans="1:10" x14ac:dyDescent="0.2">
      <c r="A344" s="14" t="s">
        <v>12</v>
      </c>
      <c r="B344" s="197">
        <v>2067</v>
      </c>
      <c r="C344" s="199" t="s">
        <v>281</v>
      </c>
      <c r="D344" s="199"/>
      <c r="E344" s="199"/>
      <c r="F344" s="200">
        <f>'Anexo IV -Projetos e Ativid '!D96</f>
        <v>4950000</v>
      </c>
      <c r="G344" s="200">
        <f>'Anexo IV -Projetos e Ativid '!E96</f>
        <v>6500000</v>
      </c>
      <c r="H344" s="200">
        <f>'Anexo IV -Projetos e Ativid '!F96</f>
        <v>7500000</v>
      </c>
      <c r="I344" s="200">
        <f>'Anexo IV -Projetos e Ativid '!G96</f>
        <v>8200000</v>
      </c>
      <c r="J344" s="217">
        <f>SUM(F344:I344)</f>
        <v>27150000</v>
      </c>
    </row>
    <row r="345" spans="1:10" x14ac:dyDescent="0.2">
      <c r="A345" s="15"/>
      <c r="B345" s="197"/>
      <c r="C345" s="199"/>
      <c r="D345" s="199"/>
      <c r="E345" s="199"/>
      <c r="F345" s="200"/>
      <c r="G345" s="200"/>
      <c r="H345" s="200"/>
      <c r="I345" s="200"/>
      <c r="J345" s="217"/>
    </row>
    <row r="346" spans="1:10" x14ac:dyDescent="0.2">
      <c r="A346" s="14" t="s">
        <v>12</v>
      </c>
      <c r="B346" s="197">
        <v>2071</v>
      </c>
      <c r="C346" s="199" t="s">
        <v>282</v>
      </c>
      <c r="D346" s="199"/>
      <c r="E346" s="199"/>
      <c r="F346" s="200">
        <f>'Anexo IV -Projetos e Ativid '!D97</f>
        <v>1500000</v>
      </c>
      <c r="G346" s="200">
        <f>'Anexo IV -Projetos e Ativid '!E97</f>
        <v>1700000</v>
      </c>
      <c r="H346" s="200">
        <f>'Anexo IV -Projetos e Ativid '!F97</f>
        <v>1850000</v>
      </c>
      <c r="I346" s="200">
        <f>'Anexo IV -Projetos e Ativid '!G97</f>
        <v>2000000</v>
      </c>
      <c r="J346" s="217">
        <f>SUM(F346:I346)</f>
        <v>7050000</v>
      </c>
    </row>
    <row r="347" spans="1:10" ht="13.5" thickBot="1" x14ac:dyDescent="0.25">
      <c r="A347" s="15"/>
      <c r="B347" s="197"/>
      <c r="C347" s="199"/>
      <c r="D347" s="199"/>
      <c r="E347" s="199"/>
      <c r="F347" s="200"/>
      <c r="G347" s="200"/>
      <c r="H347" s="200"/>
      <c r="I347" s="200"/>
      <c r="J347" s="217"/>
    </row>
    <row r="348" spans="1:10" ht="13.5" thickBot="1" x14ac:dyDescent="0.25">
      <c r="A348" s="14" t="s">
        <v>12</v>
      </c>
      <c r="B348" s="197">
        <v>2141</v>
      </c>
      <c r="C348" s="199" t="s">
        <v>305</v>
      </c>
      <c r="D348" s="199"/>
      <c r="E348" s="199"/>
      <c r="F348" s="222">
        <f>'Anexo IV -Projetos e Ativid '!D98</f>
        <v>200000</v>
      </c>
      <c r="G348" s="222">
        <f>'Anexo IV -Projetos e Ativid '!E98</f>
        <v>210000</v>
      </c>
      <c r="H348" s="222">
        <f>'Anexo IV -Projetos e Ativid '!F98</f>
        <v>220000</v>
      </c>
      <c r="I348" s="222">
        <f>'Anexo IV -Projetos e Ativid '!G98</f>
        <v>230000</v>
      </c>
      <c r="J348" s="217">
        <f>SUM(F348:I348)</f>
        <v>860000</v>
      </c>
    </row>
    <row r="349" spans="1:10" ht="13.5" thickBot="1" x14ac:dyDescent="0.25">
      <c r="A349" s="15"/>
      <c r="B349" s="197"/>
      <c r="C349" s="199"/>
      <c r="D349" s="199"/>
      <c r="E349" s="199"/>
      <c r="F349" s="222"/>
      <c r="G349" s="222"/>
      <c r="H349" s="222"/>
      <c r="I349" s="222"/>
      <c r="J349" s="217"/>
    </row>
    <row r="350" spans="1:10" ht="13.5" thickBot="1" x14ac:dyDescent="0.25">
      <c r="A350" s="14" t="s">
        <v>12</v>
      </c>
      <c r="B350" s="197">
        <v>2142</v>
      </c>
      <c r="C350" s="199" t="s">
        <v>306</v>
      </c>
      <c r="D350" s="199"/>
      <c r="E350" s="199"/>
      <c r="F350" s="222">
        <f>'Anexo IV -Projetos e Ativid '!D100</f>
        <v>10000</v>
      </c>
      <c r="G350" s="222">
        <f>'Anexo IV -Projetos e Ativid '!E100</f>
        <v>11000</v>
      </c>
      <c r="H350" s="222">
        <f>'Anexo IV -Projetos e Ativid '!F100</f>
        <v>12000</v>
      </c>
      <c r="I350" s="222">
        <f>'Anexo IV -Projetos e Ativid '!G100</f>
        <v>13000</v>
      </c>
      <c r="J350" s="217">
        <f>SUM(F350:I350)</f>
        <v>46000</v>
      </c>
    </row>
    <row r="351" spans="1:10" ht="13.5" thickBot="1" x14ac:dyDescent="0.25">
      <c r="A351" s="15"/>
      <c r="B351" s="197"/>
      <c r="C351" s="199"/>
      <c r="D351" s="199"/>
      <c r="E351" s="199"/>
      <c r="F351" s="222"/>
      <c r="G351" s="222"/>
      <c r="H351" s="222"/>
      <c r="I351" s="222"/>
      <c r="J351" s="217"/>
    </row>
    <row r="352" spans="1:10" ht="13.5" thickBot="1" x14ac:dyDescent="0.25">
      <c r="A352" s="14" t="s">
        <v>14</v>
      </c>
      <c r="B352" s="223">
        <v>3043</v>
      </c>
      <c r="C352" s="199" t="s">
        <v>307</v>
      </c>
      <c r="D352" s="199"/>
      <c r="E352" s="199"/>
      <c r="F352" s="222">
        <f>'Anexo IV -Projetos e Ativid '!D100</f>
        <v>10000</v>
      </c>
      <c r="G352" s="222">
        <f>'Anexo IV -Projetos e Ativid '!E100</f>
        <v>11000</v>
      </c>
      <c r="H352" s="222">
        <f>'Anexo IV -Projetos e Ativid '!F100</f>
        <v>12000</v>
      </c>
      <c r="I352" s="222">
        <f>'Anexo IV -Projetos e Ativid '!G100</f>
        <v>13000</v>
      </c>
      <c r="J352" s="217">
        <f>SUM(F352:I352)</f>
        <v>46000</v>
      </c>
    </row>
    <row r="353" spans="1:10" ht="13.5" thickBot="1" x14ac:dyDescent="0.25">
      <c r="A353" s="15"/>
      <c r="B353" s="224"/>
      <c r="C353" s="199"/>
      <c r="D353" s="199"/>
      <c r="E353" s="199"/>
      <c r="F353" s="222"/>
      <c r="G353" s="222"/>
      <c r="H353" s="222"/>
      <c r="I353" s="222"/>
      <c r="J353" s="217"/>
    </row>
    <row r="354" spans="1:10" ht="13.5" thickBot="1" x14ac:dyDescent="0.25">
      <c r="A354" s="14" t="s">
        <v>12</v>
      </c>
      <c r="B354" s="197">
        <v>2165</v>
      </c>
      <c r="C354" s="199" t="s">
        <v>308</v>
      </c>
      <c r="D354" s="199"/>
      <c r="E354" s="199"/>
      <c r="F354" s="222">
        <f>'Anexo IV -Projetos e Ativid '!D101</f>
        <v>30000</v>
      </c>
      <c r="G354" s="222">
        <f>'Anexo IV -Projetos e Ativid '!E101</f>
        <v>35000</v>
      </c>
      <c r="H354" s="222">
        <f>'Anexo IV -Projetos e Ativid '!F101</f>
        <v>40000</v>
      </c>
      <c r="I354" s="222">
        <f>'Anexo IV -Projetos e Ativid '!G101</f>
        <v>45000</v>
      </c>
      <c r="J354" s="217">
        <f>SUM(F354:I354)</f>
        <v>150000</v>
      </c>
    </row>
    <row r="355" spans="1:10" ht="13.5" thickBot="1" x14ac:dyDescent="0.25">
      <c r="A355" s="15"/>
      <c r="B355" s="197"/>
      <c r="C355" s="199"/>
      <c r="D355" s="199"/>
      <c r="E355" s="199"/>
      <c r="F355" s="222"/>
      <c r="G355" s="222"/>
      <c r="H355" s="222"/>
      <c r="I355" s="222"/>
      <c r="J355" s="217"/>
    </row>
    <row r="356" spans="1:10" ht="13.5" thickBot="1" x14ac:dyDescent="0.25">
      <c r="A356" s="14" t="s">
        <v>12</v>
      </c>
      <c r="B356" s="197">
        <v>2166</v>
      </c>
      <c r="C356" s="199" t="s">
        <v>318</v>
      </c>
      <c r="D356" s="199"/>
      <c r="E356" s="199"/>
      <c r="F356" s="222">
        <f>'Anexo IV -Projetos e Ativid '!D102</f>
        <v>150000</v>
      </c>
      <c r="G356" s="222">
        <f>'Anexo IV -Projetos e Ativid '!E102</f>
        <v>155000</v>
      </c>
      <c r="H356" s="222">
        <f>'Anexo IV -Projetos e Ativid '!F102</f>
        <v>160000</v>
      </c>
      <c r="I356" s="222">
        <f>'Anexo IV -Projetos e Ativid '!G102</f>
        <v>165000</v>
      </c>
      <c r="J356" s="217">
        <f>SUM(F356:I356)</f>
        <v>630000</v>
      </c>
    </row>
    <row r="357" spans="1:10" ht="13.5" thickBot="1" x14ac:dyDescent="0.25">
      <c r="A357" s="15"/>
      <c r="B357" s="197"/>
      <c r="C357" s="199"/>
      <c r="D357" s="199"/>
      <c r="E357" s="199"/>
      <c r="F357" s="222"/>
      <c r="G357" s="222"/>
      <c r="H357" s="222"/>
      <c r="I357" s="222"/>
      <c r="J357" s="217"/>
    </row>
    <row r="358" spans="1:10" ht="13.5" customHeight="1" thickBot="1" x14ac:dyDescent="0.25">
      <c r="A358" s="14" t="s">
        <v>14</v>
      </c>
      <c r="B358" s="197">
        <v>3044</v>
      </c>
      <c r="C358" s="199" t="s">
        <v>300</v>
      </c>
      <c r="D358" s="199"/>
      <c r="E358" s="199"/>
      <c r="F358" s="222">
        <f>'Anexo IV -Projetos e Ativid '!D103</f>
        <v>8000</v>
      </c>
      <c r="G358" s="222">
        <f>'Anexo IV -Projetos e Ativid '!E103</f>
        <v>9000</v>
      </c>
      <c r="H358" s="222">
        <f>'Anexo IV -Projetos e Ativid '!F103</f>
        <v>10000</v>
      </c>
      <c r="I358" s="222">
        <f>'Anexo IV -Projetos e Ativid '!G103</f>
        <v>11000</v>
      </c>
      <c r="J358" s="230">
        <f>SUM(F358:I358)</f>
        <v>38000</v>
      </c>
    </row>
    <row r="359" spans="1:10" ht="13.5" customHeight="1" thickBot="1" x14ac:dyDescent="0.25">
      <c r="A359" s="15"/>
      <c r="B359" s="197"/>
      <c r="C359" s="199"/>
      <c r="D359" s="199"/>
      <c r="E359" s="199"/>
      <c r="F359" s="222"/>
      <c r="G359" s="222"/>
      <c r="H359" s="222"/>
      <c r="I359" s="222"/>
      <c r="J359" s="231"/>
    </row>
    <row r="360" spans="1:10" ht="13.5" customHeight="1" thickBot="1" x14ac:dyDescent="0.25">
      <c r="A360" s="18"/>
      <c r="B360" s="16"/>
      <c r="C360" s="17"/>
      <c r="D360" s="17"/>
      <c r="E360" s="17"/>
      <c r="F360" s="18"/>
      <c r="G360" s="18"/>
      <c r="H360" s="36"/>
      <c r="I360" s="18"/>
      <c r="J360" s="106"/>
    </row>
    <row r="361" spans="1:10" ht="15" customHeight="1" thickBot="1" x14ac:dyDescent="0.25">
      <c r="A361" s="210" t="s">
        <v>2</v>
      </c>
      <c r="B361" s="218"/>
      <c r="C361" s="219" t="s">
        <v>32</v>
      </c>
      <c r="D361" s="220"/>
      <c r="E361" s="220"/>
      <c r="F361" s="220"/>
      <c r="G361" s="220"/>
      <c r="H361" s="220"/>
      <c r="I361" s="220"/>
      <c r="J361" s="221"/>
    </row>
    <row r="362" spans="1:10" ht="15" customHeight="1" thickBot="1" x14ac:dyDescent="0.25">
      <c r="A362" s="210" t="s">
        <v>4</v>
      </c>
      <c r="B362" s="210"/>
      <c r="C362" s="211" t="s">
        <v>33</v>
      </c>
      <c r="D362" s="211"/>
      <c r="E362" s="211"/>
      <c r="F362" s="211"/>
      <c r="G362" s="211"/>
      <c r="H362" s="211"/>
      <c r="I362" s="211"/>
      <c r="J362" s="211"/>
    </row>
    <row r="363" spans="1:10" ht="15" customHeight="1" thickBot="1" x14ac:dyDescent="0.25">
      <c r="A363" s="2"/>
      <c r="B363" s="2"/>
      <c r="C363" s="211"/>
      <c r="D363" s="211"/>
      <c r="E363" s="211"/>
      <c r="F363" s="211"/>
      <c r="G363" s="211"/>
      <c r="H363" s="211"/>
      <c r="I363" s="211"/>
      <c r="J363" s="211"/>
    </row>
    <row r="364" spans="1:10" ht="15" customHeight="1" thickBot="1" x14ac:dyDescent="0.25">
      <c r="A364" s="2"/>
      <c r="B364" s="2"/>
      <c r="C364" s="211"/>
      <c r="D364" s="211"/>
      <c r="E364" s="211"/>
      <c r="F364" s="211"/>
      <c r="G364" s="211"/>
      <c r="H364" s="211"/>
      <c r="I364" s="211"/>
      <c r="J364" s="211"/>
    </row>
    <row r="365" spans="1:10" ht="12.75" customHeight="1" thickBot="1" x14ac:dyDescent="0.25">
      <c r="A365" s="2"/>
      <c r="B365" s="2"/>
      <c r="C365" s="211"/>
      <c r="D365" s="211"/>
      <c r="E365" s="211"/>
      <c r="F365" s="211"/>
      <c r="G365" s="211"/>
      <c r="H365" s="211"/>
      <c r="I365" s="211"/>
      <c r="J365" s="211"/>
    </row>
    <row r="366" spans="1:10" ht="12.75" customHeight="1" thickBot="1" x14ac:dyDescent="0.25">
      <c r="A366" s="2"/>
      <c r="B366" s="2"/>
      <c r="C366" s="211"/>
      <c r="D366" s="211"/>
      <c r="E366" s="211"/>
      <c r="F366" s="211"/>
      <c r="G366" s="211"/>
      <c r="H366" s="211"/>
      <c r="I366" s="211"/>
      <c r="J366" s="211"/>
    </row>
    <row r="367" spans="1:10" x14ac:dyDescent="0.2">
      <c r="A367" s="212" t="s">
        <v>5</v>
      </c>
      <c r="B367" s="212"/>
      <c r="C367" s="212"/>
      <c r="D367" s="212"/>
      <c r="E367" s="3"/>
      <c r="F367" s="4">
        <v>2026</v>
      </c>
      <c r="G367" s="4">
        <v>2027</v>
      </c>
      <c r="H367" s="34">
        <v>2028</v>
      </c>
      <c r="I367" s="4">
        <v>2029</v>
      </c>
      <c r="J367" s="5" t="s">
        <v>6</v>
      </c>
    </row>
    <row r="368" spans="1:10" ht="12.75" customHeight="1" x14ac:dyDescent="0.2">
      <c r="A368" s="213" t="s">
        <v>7</v>
      </c>
      <c r="B368" s="213"/>
      <c r="C368" s="213"/>
      <c r="D368" s="6"/>
      <c r="E368" s="7"/>
      <c r="F368" s="8">
        <f>F372</f>
        <v>5000</v>
      </c>
      <c r="G368" s="8">
        <f>G372</f>
        <v>5000</v>
      </c>
      <c r="H368" s="105">
        <f>H372</f>
        <v>5000</v>
      </c>
      <c r="I368" s="8">
        <f>I372</f>
        <v>5000</v>
      </c>
      <c r="J368" s="9">
        <f>SUM(F368:I368)</f>
        <v>20000</v>
      </c>
    </row>
    <row r="369" spans="1:10" x14ac:dyDescent="0.2">
      <c r="A369" s="10"/>
      <c r="B369" s="11"/>
      <c r="C369" s="206"/>
      <c r="D369" s="206"/>
      <c r="E369" s="206"/>
      <c r="F369" s="12"/>
      <c r="G369" s="12"/>
      <c r="H369" s="35"/>
      <c r="I369" s="12"/>
      <c r="J369" s="13"/>
    </row>
    <row r="370" spans="1:10" x14ac:dyDescent="0.2">
      <c r="A370" s="207" t="s">
        <v>8</v>
      </c>
      <c r="B370" s="208" t="s">
        <v>9</v>
      </c>
      <c r="C370" s="208" t="s">
        <v>10</v>
      </c>
      <c r="D370" s="208"/>
      <c r="E370" s="208"/>
      <c r="F370" s="197">
        <f>F367</f>
        <v>2026</v>
      </c>
      <c r="G370" s="197">
        <f>G367</f>
        <v>2027</v>
      </c>
      <c r="H370" s="203">
        <f>H367</f>
        <v>2028</v>
      </c>
      <c r="I370" s="197">
        <f>I367</f>
        <v>2029</v>
      </c>
      <c r="J370" s="204" t="s">
        <v>11</v>
      </c>
    </row>
    <row r="371" spans="1:10" x14ac:dyDescent="0.2">
      <c r="A371" s="207"/>
      <c r="B371" s="208"/>
      <c r="C371" s="208"/>
      <c r="D371" s="208"/>
      <c r="E371" s="208"/>
      <c r="F371" s="197"/>
      <c r="G371" s="197"/>
      <c r="H371" s="203"/>
      <c r="I371" s="197"/>
      <c r="J371" s="204"/>
    </row>
    <row r="372" spans="1:10" ht="13.5" thickBot="1" x14ac:dyDescent="0.25">
      <c r="A372" s="14" t="s">
        <v>12</v>
      </c>
      <c r="B372" s="197">
        <f>'Anexo IV -Projetos e Ativid '!B108</f>
        <v>2083</v>
      </c>
      <c r="C372" s="199" t="str">
        <f>'Anexo IV -Projetos e Ativid '!C108</f>
        <v>POLÍTICAS DE HABITAÇÃO E REGULARIZAÇÃO FUNDIÁRIA</v>
      </c>
      <c r="D372" s="199"/>
      <c r="E372" s="199"/>
      <c r="F372" s="200">
        <f>'Anexo IV -Projetos e Ativid '!D108</f>
        <v>5000</v>
      </c>
      <c r="G372" s="200">
        <f>'Anexo IV -Projetos e Ativid '!E108</f>
        <v>5000</v>
      </c>
      <c r="H372" s="200">
        <f>'Anexo IV -Projetos e Ativid '!F108</f>
        <v>5000</v>
      </c>
      <c r="I372" s="200">
        <f>'Anexo IV -Projetos e Ativid '!G108</f>
        <v>5000</v>
      </c>
      <c r="J372" s="200">
        <f>SUM(F372:I372)</f>
        <v>20000</v>
      </c>
    </row>
    <row r="373" spans="1:10" ht="13.5" customHeight="1" thickBot="1" x14ac:dyDescent="0.25">
      <c r="A373" s="15"/>
      <c r="B373" s="197"/>
      <c r="C373" s="199"/>
      <c r="D373" s="199"/>
      <c r="E373" s="199"/>
      <c r="F373" s="200"/>
      <c r="G373" s="200"/>
      <c r="H373" s="200"/>
      <c r="I373" s="200"/>
      <c r="J373" s="200"/>
    </row>
    <row r="374" spans="1:10" ht="12.75" customHeight="1" thickBot="1" x14ac:dyDescent="0.25"/>
    <row r="375" spans="1:10" ht="13.5" thickBot="1" x14ac:dyDescent="0.25">
      <c r="A375" s="210" t="s">
        <v>2</v>
      </c>
      <c r="B375" s="210"/>
      <c r="C375" s="211" t="str">
        <f>'[1]Anexo II - Resumo dos Programas'!B21</f>
        <v>Proteção Social Básica</v>
      </c>
      <c r="D375" s="211"/>
      <c r="E375" s="211"/>
      <c r="F375" s="211"/>
      <c r="G375" s="211"/>
      <c r="H375" s="211"/>
      <c r="I375" s="211"/>
      <c r="J375" s="211"/>
    </row>
    <row r="376" spans="1:10" ht="13.5" thickBot="1" x14ac:dyDescent="0.25">
      <c r="A376" s="210" t="s">
        <v>4</v>
      </c>
      <c r="B376" s="210"/>
      <c r="C376" s="211" t="s">
        <v>304</v>
      </c>
      <c r="D376" s="211"/>
      <c r="E376" s="211"/>
      <c r="F376" s="211"/>
      <c r="G376" s="211"/>
      <c r="H376" s="211"/>
      <c r="I376" s="211"/>
      <c r="J376" s="211"/>
    </row>
    <row r="377" spans="1:10" ht="13.5" thickBot="1" x14ac:dyDescent="0.25">
      <c r="A377" s="2"/>
      <c r="B377" s="2"/>
      <c r="C377" s="211"/>
      <c r="D377" s="211"/>
      <c r="E377" s="211"/>
      <c r="F377" s="211"/>
      <c r="G377" s="211"/>
      <c r="H377" s="211"/>
      <c r="I377" s="211"/>
      <c r="J377" s="211"/>
    </row>
    <row r="378" spans="1:10" ht="13.5" thickBot="1" x14ac:dyDescent="0.25">
      <c r="A378" s="2"/>
      <c r="B378" s="2"/>
      <c r="C378" s="211"/>
      <c r="D378" s="211"/>
      <c r="E378" s="211"/>
      <c r="F378" s="211"/>
      <c r="G378" s="211"/>
      <c r="H378" s="211"/>
      <c r="I378" s="211"/>
      <c r="J378" s="211"/>
    </row>
    <row r="379" spans="1:10" ht="13.5" thickBot="1" x14ac:dyDescent="0.25">
      <c r="A379" s="2"/>
      <c r="B379" s="2"/>
      <c r="C379" s="211"/>
      <c r="D379" s="211"/>
      <c r="E379" s="211"/>
      <c r="F379" s="211"/>
      <c r="G379" s="211"/>
      <c r="H379" s="211"/>
      <c r="I379" s="211"/>
      <c r="J379" s="211"/>
    </row>
    <row r="380" spans="1:10" ht="13.5" thickBot="1" x14ac:dyDescent="0.25">
      <c r="A380" s="2"/>
      <c r="B380" s="2"/>
      <c r="C380" s="211"/>
      <c r="D380" s="211"/>
      <c r="E380" s="211"/>
      <c r="F380" s="211"/>
      <c r="G380" s="211"/>
      <c r="H380" s="211"/>
      <c r="I380" s="211"/>
      <c r="J380" s="211"/>
    </row>
    <row r="381" spans="1:10" ht="13.5" thickBot="1" x14ac:dyDescent="0.25">
      <c r="A381" s="2"/>
      <c r="B381" s="2"/>
      <c r="C381" s="211"/>
      <c r="D381" s="211"/>
      <c r="E381" s="211"/>
      <c r="F381" s="211"/>
      <c r="G381" s="211"/>
      <c r="H381" s="211"/>
      <c r="I381" s="211"/>
      <c r="J381" s="211"/>
    </row>
    <row r="382" spans="1:10" ht="12.75" customHeight="1" thickBot="1" x14ac:dyDescent="0.25">
      <c r="A382" s="2"/>
      <c r="B382" s="2"/>
      <c r="C382" s="211"/>
      <c r="D382" s="211"/>
      <c r="E382" s="211"/>
      <c r="F382" s="211"/>
      <c r="G382" s="211"/>
      <c r="H382" s="211"/>
      <c r="I382" s="211"/>
      <c r="J382" s="211"/>
    </row>
    <row r="383" spans="1:10" ht="12.75" customHeight="1" thickBot="1" x14ac:dyDescent="0.25">
      <c r="A383" s="2"/>
      <c r="B383" s="2"/>
      <c r="C383" s="211"/>
      <c r="D383" s="211"/>
      <c r="E383" s="211"/>
      <c r="F383" s="211"/>
      <c r="G383" s="211"/>
      <c r="H383" s="211"/>
      <c r="I383" s="211"/>
      <c r="J383" s="211"/>
    </row>
    <row r="384" spans="1:10" x14ac:dyDescent="0.2">
      <c r="A384" s="212" t="s">
        <v>5</v>
      </c>
      <c r="B384" s="212"/>
      <c r="C384" s="212"/>
      <c r="D384" s="212"/>
      <c r="E384" s="3"/>
      <c r="F384" s="4">
        <v>2026</v>
      </c>
      <c r="G384" s="4">
        <v>2027</v>
      </c>
      <c r="H384" s="34">
        <v>2028</v>
      </c>
      <c r="I384" s="4">
        <v>2029</v>
      </c>
      <c r="J384" s="5" t="s">
        <v>6</v>
      </c>
    </row>
    <row r="385" spans="1:12" ht="12.75" customHeight="1" x14ac:dyDescent="0.2">
      <c r="A385" s="213" t="s">
        <v>7</v>
      </c>
      <c r="B385" s="213"/>
      <c r="C385" s="213"/>
      <c r="D385" s="6"/>
      <c r="E385" s="7"/>
      <c r="F385" s="8">
        <f>SUM(F389:F404)</f>
        <v>1929000</v>
      </c>
      <c r="G385" s="8">
        <f>SUM(G389:G404)</f>
        <v>1861000</v>
      </c>
      <c r="H385" s="8">
        <f>SUM(H389:H404)</f>
        <v>1797000</v>
      </c>
      <c r="I385" s="8">
        <f>SUM(I389:I404)</f>
        <v>1789000</v>
      </c>
      <c r="J385" s="9">
        <f>SUM(F385:I385)</f>
        <v>7376000</v>
      </c>
      <c r="L385" s="19"/>
    </row>
    <row r="386" spans="1:12" x14ac:dyDescent="0.2">
      <c r="A386" s="10"/>
      <c r="B386" s="11"/>
      <c r="C386" s="206"/>
      <c r="D386" s="206"/>
      <c r="E386" s="206"/>
      <c r="F386" s="12"/>
      <c r="G386" s="12"/>
      <c r="H386" s="35"/>
      <c r="I386" s="12"/>
      <c r="J386" s="13"/>
    </row>
    <row r="387" spans="1:12" x14ac:dyDescent="0.2">
      <c r="A387" s="207" t="s">
        <v>8</v>
      </c>
      <c r="B387" s="208" t="s">
        <v>9</v>
      </c>
      <c r="C387" s="208" t="s">
        <v>10</v>
      </c>
      <c r="D387" s="208"/>
      <c r="E387" s="208"/>
      <c r="F387" s="197">
        <f>F384</f>
        <v>2026</v>
      </c>
      <c r="G387" s="197">
        <f>G384</f>
        <v>2027</v>
      </c>
      <c r="H387" s="203">
        <f>H384</f>
        <v>2028</v>
      </c>
      <c r="I387" s="197">
        <f>I384</f>
        <v>2029</v>
      </c>
      <c r="J387" s="204" t="s">
        <v>11</v>
      </c>
    </row>
    <row r="388" spans="1:12" x14ac:dyDescent="0.2">
      <c r="A388" s="207"/>
      <c r="B388" s="208"/>
      <c r="C388" s="208"/>
      <c r="D388" s="208"/>
      <c r="E388" s="208"/>
      <c r="F388" s="197"/>
      <c r="G388" s="197"/>
      <c r="H388" s="203"/>
      <c r="I388" s="197"/>
      <c r="J388" s="204"/>
    </row>
    <row r="389" spans="1:12" ht="13.5" thickBot="1" x14ac:dyDescent="0.25">
      <c r="A389" s="14" t="s">
        <v>12</v>
      </c>
      <c r="B389" s="197">
        <v>2073</v>
      </c>
      <c r="C389" s="199" t="s">
        <v>274</v>
      </c>
      <c r="D389" s="199"/>
      <c r="E389" s="199"/>
      <c r="F389" s="200">
        <f>'Anexo IV -Projetos e Ativid '!D111</f>
        <v>110000</v>
      </c>
      <c r="G389" s="200">
        <f>'Anexo IV -Projetos e Ativid '!E111</f>
        <v>110000</v>
      </c>
      <c r="H389" s="200">
        <f>'Anexo IV -Projetos e Ativid '!F111</f>
        <v>110000</v>
      </c>
      <c r="I389" s="200">
        <f>'Anexo IV -Projetos e Ativid '!G111</f>
        <v>110000</v>
      </c>
      <c r="J389" s="217">
        <f>SUM(F389:I389)</f>
        <v>440000</v>
      </c>
    </row>
    <row r="390" spans="1:12" ht="13.5" thickBot="1" x14ac:dyDescent="0.25">
      <c r="A390" s="15"/>
      <c r="B390" s="197"/>
      <c r="C390" s="199"/>
      <c r="D390" s="199"/>
      <c r="E390" s="199"/>
      <c r="F390" s="200"/>
      <c r="G390" s="200"/>
      <c r="H390" s="200"/>
      <c r="I390" s="200"/>
      <c r="J390" s="217"/>
    </row>
    <row r="391" spans="1:12" ht="13.5" thickBot="1" x14ac:dyDescent="0.25">
      <c r="A391" s="14" t="s">
        <v>12</v>
      </c>
      <c r="B391" s="197">
        <v>2077</v>
      </c>
      <c r="C391" s="199" t="s">
        <v>275</v>
      </c>
      <c r="D391" s="199"/>
      <c r="E391" s="199"/>
      <c r="F391" s="200">
        <f>'Anexo IV -Projetos e Ativid '!D104</f>
        <v>34000</v>
      </c>
      <c r="G391" s="200">
        <f>'Anexo IV -Projetos e Ativid '!E104</f>
        <v>30000</v>
      </c>
      <c r="H391" s="200">
        <f>'Anexo IV -Projetos e Ativid '!F104</f>
        <v>30000</v>
      </c>
      <c r="I391" s="200">
        <f>'Anexo IV -Projetos e Ativid '!G104</f>
        <v>89000</v>
      </c>
      <c r="J391" s="217">
        <f>SUM(F391:I391)</f>
        <v>183000</v>
      </c>
    </row>
    <row r="392" spans="1:12" ht="13.5" thickBot="1" x14ac:dyDescent="0.25">
      <c r="A392" s="15"/>
      <c r="B392" s="197"/>
      <c r="C392" s="199"/>
      <c r="D392" s="199"/>
      <c r="E392" s="199"/>
      <c r="F392" s="200"/>
      <c r="G392" s="200"/>
      <c r="H392" s="200"/>
      <c r="I392" s="200"/>
      <c r="J392" s="217"/>
    </row>
    <row r="393" spans="1:12" ht="13.5" thickBot="1" x14ac:dyDescent="0.25">
      <c r="A393" s="14" t="s">
        <v>12</v>
      </c>
      <c r="B393" s="197">
        <v>2078</v>
      </c>
      <c r="C393" s="199" t="s">
        <v>251</v>
      </c>
      <c r="D393" s="199"/>
      <c r="E393" s="199"/>
      <c r="F393" s="200">
        <f>'Anexo IV -Projetos e Ativid '!D112</f>
        <v>431000</v>
      </c>
      <c r="G393" s="200">
        <f>'Anexo IV -Projetos e Ativid '!E112</f>
        <v>440000</v>
      </c>
      <c r="H393" s="200">
        <f>'Anexo IV -Projetos e Ativid '!F112</f>
        <v>450000</v>
      </c>
      <c r="I393" s="200">
        <f>'Anexo IV -Projetos e Ativid '!G112</f>
        <v>460000</v>
      </c>
      <c r="J393" s="217">
        <f>SUM(F393:I393)</f>
        <v>1781000</v>
      </c>
    </row>
    <row r="394" spans="1:12" ht="13.5" thickBot="1" x14ac:dyDescent="0.25">
      <c r="A394" s="15"/>
      <c r="B394" s="197"/>
      <c r="C394" s="199"/>
      <c r="D394" s="199"/>
      <c r="E394" s="199"/>
      <c r="F394" s="200"/>
      <c r="G394" s="200"/>
      <c r="H394" s="200"/>
      <c r="I394" s="200"/>
      <c r="J394" s="217"/>
    </row>
    <row r="395" spans="1:12" x14ac:dyDescent="0.2">
      <c r="A395" s="14" t="s">
        <v>12</v>
      </c>
      <c r="B395" s="223">
        <v>2080</v>
      </c>
      <c r="C395" s="258" t="s">
        <v>252</v>
      </c>
      <c r="D395" s="259"/>
      <c r="E395" s="260"/>
      <c r="F395" s="256">
        <f>'Anexo IV -Projetos e Ativid '!D106</f>
        <v>100000</v>
      </c>
      <c r="G395" s="256">
        <f>'Anexo IV -Projetos e Ativid '!E106</f>
        <v>100000</v>
      </c>
      <c r="H395" s="256">
        <f>'Anexo IV -Projetos e Ativid '!F106</f>
        <v>132000</v>
      </c>
      <c r="I395" s="256">
        <f>'Anexo IV -Projetos e Ativid '!G106</f>
        <v>100000</v>
      </c>
      <c r="J395" s="230">
        <f>SUM(F395:I396)</f>
        <v>432000</v>
      </c>
    </row>
    <row r="396" spans="1:12" ht="13.5" thickBot="1" x14ac:dyDescent="0.25">
      <c r="A396" s="15"/>
      <c r="B396" s="224"/>
      <c r="C396" s="261"/>
      <c r="D396" s="262"/>
      <c r="E396" s="263"/>
      <c r="F396" s="257"/>
      <c r="G396" s="257"/>
      <c r="H396" s="257"/>
      <c r="I396" s="257"/>
      <c r="J396" s="231"/>
    </row>
    <row r="397" spans="1:12" ht="12.75" customHeight="1" x14ac:dyDescent="0.2">
      <c r="A397" s="14" t="s">
        <v>14</v>
      </c>
      <c r="B397" s="223">
        <v>3013</v>
      </c>
      <c r="C397" s="258" t="s">
        <v>328</v>
      </c>
      <c r="D397" s="259"/>
      <c r="E397" s="260"/>
      <c r="F397" s="256">
        <f>'Anexo IV -Projetos e Ativid '!D110</f>
        <v>94000</v>
      </c>
      <c r="G397" s="256">
        <f>'Anexo IV -Projetos e Ativid '!E110</f>
        <v>50000</v>
      </c>
      <c r="H397" s="256">
        <f>'Anexo IV -Projetos e Ativid '!F110</f>
        <v>20000</v>
      </c>
      <c r="I397" s="256">
        <f>'Anexo IV -Projetos e Ativid '!G110</f>
        <v>20000</v>
      </c>
      <c r="J397" s="230">
        <f>SUM(F397:I398)</f>
        <v>184000</v>
      </c>
    </row>
    <row r="398" spans="1:12" ht="13.5" thickBot="1" x14ac:dyDescent="0.25">
      <c r="A398" s="15"/>
      <c r="B398" s="224"/>
      <c r="C398" s="261"/>
      <c r="D398" s="262"/>
      <c r="E398" s="263"/>
      <c r="F398" s="257"/>
      <c r="G398" s="257"/>
      <c r="H398" s="257"/>
      <c r="I398" s="257"/>
      <c r="J398" s="231"/>
    </row>
    <row r="399" spans="1:12" ht="13.5" thickBot="1" x14ac:dyDescent="0.25">
      <c r="A399" s="14" t="s">
        <v>12</v>
      </c>
      <c r="B399" s="197">
        <v>2079</v>
      </c>
      <c r="C399" s="199" t="s">
        <v>327</v>
      </c>
      <c r="D399" s="199"/>
      <c r="E399" s="199"/>
      <c r="F399" s="200">
        <f>'Anexo IV -Projetos e Ativid '!D105</f>
        <v>1070000</v>
      </c>
      <c r="G399" s="200">
        <f>'Anexo IV -Projetos e Ativid '!E105</f>
        <v>1040000</v>
      </c>
      <c r="H399" s="200">
        <f>'Anexo IV -Projetos e Ativid '!F105</f>
        <v>1010000</v>
      </c>
      <c r="I399" s="200">
        <f>'Anexo IV -Projetos e Ativid '!G105</f>
        <v>980000</v>
      </c>
      <c r="J399" s="217">
        <f>SUM(F399:I399)</f>
        <v>4100000</v>
      </c>
    </row>
    <row r="400" spans="1:12" ht="13.5" thickBot="1" x14ac:dyDescent="0.25">
      <c r="A400" s="15"/>
      <c r="B400" s="197"/>
      <c r="C400" s="199"/>
      <c r="D400" s="199"/>
      <c r="E400" s="199"/>
      <c r="F400" s="200"/>
      <c r="G400" s="200"/>
      <c r="H400" s="200"/>
      <c r="I400" s="200"/>
      <c r="J400" s="217"/>
    </row>
    <row r="401" spans="1:11" ht="13.5" thickBot="1" x14ac:dyDescent="0.25">
      <c r="A401" s="14" t="s">
        <v>12</v>
      </c>
      <c r="B401" s="197">
        <v>2081</v>
      </c>
      <c r="C401" s="199" t="s">
        <v>276</v>
      </c>
      <c r="D401" s="199"/>
      <c r="E401" s="199"/>
      <c r="F401" s="200">
        <f>'Anexo IV -Projetos e Ativid '!D107</f>
        <v>15000</v>
      </c>
      <c r="G401" s="200">
        <f>'Anexo IV -Projetos e Ativid '!E107</f>
        <v>15000</v>
      </c>
      <c r="H401" s="200">
        <f>'Anexo IV -Projetos e Ativid '!F107</f>
        <v>15000</v>
      </c>
      <c r="I401" s="200">
        <f>'Anexo IV -Projetos e Ativid '!G107</f>
        <v>15000</v>
      </c>
      <c r="J401" s="217">
        <f>SUM(F401:I401)</f>
        <v>60000</v>
      </c>
    </row>
    <row r="402" spans="1:11" ht="13.5" thickBot="1" x14ac:dyDescent="0.25">
      <c r="A402" s="15"/>
      <c r="B402" s="197"/>
      <c r="C402" s="199"/>
      <c r="D402" s="199"/>
      <c r="E402" s="199"/>
      <c r="F402" s="200"/>
      <c r="G402" s="200"/>
      <c r="H402" s="200"/>
      <c r="I402" s="200"/>
      <c r="J402" s="217"/>
      <c r="K402" s="19"/>
    </row>
    <row r="403" spans="1:11" ht="13.5" thickBot="1" x14ac:dyDescent="0.25">
      <c r="A403" s="14" t="s">
        <v>12</v>
      </c>
      <c r="B403" s="197">
        <f>'Anexo IV -Projetos e Ativid '!B109</f>
        <v>2102</v>
      </c>
      <c r="C403" s="199" t="str">
        <f>'Anexo IV -Projetos e Ativid '!C109</f>
        <v>CENTRO DO IDOSO</v>
      </c>
      <c r="D403" s="199"/>
      <c r="E403" s="199"/>
      <c r="F403" s="200">
        <f>'Anexo IV -Projetos e Ativid '!D109</f>
        <v>75000</v>
      </c>
      <c r="G403" s="200">
        <f>'Anexo IV -Projetos e Ativid '!E109</f>
        <v>76000</v>
      </c>
      <c r="H403" s="200">
        <f>'Anexo IV -Projetos e Ativid '!F109</f>
        <v>30000</v>
      </c>
      <c r="I403" s="200">
        <f>'Anexo IV -Projetos e Ativid '!G109</f>
        <v>15000</v>
      </c>
      <c r="J403" s="217">
        <f>SUM(F403:I403)</f>
        <v>196000</v>
      </c>
    </row>
    <row r="404" spans="1:11" ht="13.5" customHeight="1" thickBot="1" x14ac:dyDescent="0.25">
      <c r="A404" s="15"/>
      <c r="B404" s="197"/>
      <c r="C404" s="199"/>
      <c r="D404" s="199"/>
      <c r="E404" s="199"/>
      <c r="F404" s="200"/>
      <c r="G404" s="200"/>
      <c r="H404" s="200"/>
      <c r="I404" s="200"/>
      <c r="J404" s="217"/>
    </row>
    <row r="405" spans="1:11" ht="12.75" customHeight="1" thickBot="1" x14ac:dyDescent="0.25"/>
    <row r="406" spans="1:11" ht="13.5" thickBot="1" x14ac:dyDescent="0.25">
      <c r="A406" s="210" t="s">
        <v>2</v>
      </c>
      <c r="B406" s="210"/>
      <c r="C406" s="211" t="str">
        <f>'[1]Anexo II - Resumo dos Programas'!B22</f>
        <v>Gestão dos Serviços de Água</v>
      </c>
      <c r="D406" s="211"/>
      <c r="E406" s="211"/>
      <c r="F406" s="211"/>
      <c r="G406" s="211"/>
      <c r="H406" s="211"/>
      <c r="I406" s="211"/>
      <c r="J406" s="211"/>
    </row>
    <row r="407" spans="1:11" ht="13.5" thickBot="1" x14ac:dyDescent="0.25">
      <c r="A407" s="210" t="s">
        <v>4</v>
      </c>
      <c r="B407" s="210"/>
      <c r="C407" s="211" t="s">
        <v>34</v>
      </c>
      <c r="D407" s="211"/>
      <c r="E407" s="211"/>
      <c r="F407" s="211"/>
      <c r="G407" s="211"/>
      <c r="H407" s="211"/>
      <c r="I407" s="211"/>
      <c r="J407" s="211"/>
    </row>
    <row r="408" spans="1:11" ht="13.5" thickBot="1" x14ac:dyDescent="0.25">
      <c r="A408" s="2"/>
      <c r="B408" s="2"/>
      <c r="C408" s="211"/>
      <c r="D408" s="211"/>
      <c r="E408" s="211"/>
      <c r="F408" s="211"/>
      <c r="G408" s="211"/>
      <c r="H408" s="211"/>
      <c r="I408" s="211"/>
      <c r="J408" s="211"/>
    </row>
    <row r="409" spans="1:11" ht="13.5" thickBot="1" x14ac:dyDescent="0.25">
      <c r="A409" s="2"/>
      <c r="B409" s="2"/>
      <c r="C409" s="211"/>
      <c r="D409" s="211"/>
      <c r="E409" s="211"/>
      <c r="F409" s="211"/>
      <c r="G409" s="211"/>
      <c r="H409" s="211"/>
      <c r="I409" s="211"/>
      <c r="J409" s="211"/>
    </row>
    <row r="410" spans="1:11" ht="12.75" customHeight="1" thickBot="1" x14ac:dyDescent="0.25">
      <c r="A410" s="2"/>
      <c r="B410" s="2"/>
      <c r="C410" s="211"/>
      <c r="D410" s="211"/>
      <c r="E410" s="211"/>
      <c r="F410" s="211"/>
      <c r="G410" s="211"/>
      <c r="H410" s="211"/>
      <c r="I410" s="211"/>
      <c r="J410" s="211"/>
    </row>
    <row r="411" spans="1:11" ht="12.75" customHeight="1" thickBot="1" x14ac:dyDescent="0.25">
      <c r="A411" s="2"/>
      <c r="B411" s="2"/>
      <c r="C411" s="211"/>
      <c r="D411" s="211"/>
      <c r="E411" s="211"/>
      <c r="F411" s="211"/>
      <c r="G411" s="211"/>
      <c r="H411" s="211"/>
      <c r="I411" s="211"/>
      <c r="J411" s="211"/>
    </row>
    <row r="412" spans="1:11" x14ac:dyDescent="0.2">
      <c r="A412" s="216" t="s">
        <v>5</v>
      </c>
      <c r="B412" s="216"/>
      <c r="C412" s="216"/>
      <c r="D412" s="216"/>
      <c r="E412" s="100"/>
      <c r="F412" s="4">
        <v>2026</v>
      </c>
      <c r="G412" s="4">
        <v>2027</v>
      </c>
      <c r="H412" s="4">
        <v>2028</v>
      </c>
      <c r="I412" s="4">
        <v>2029</v>
      </c>
      <c r="J412" s="102" t="s">
        <v>6</v>
      </c>
    </row>
    <row r="413" spans="1:11" ht="12.75" customHeight="1" x14ac:dyDescent="0.2">
      <c r="A413" s="213" t="s">
        <v>7</v>
      </c>
      <c r="B413" s="213"/>
      <c r="C413" s="213"/>
      <c r="D413" s="6"/>
      <c r="E413" s="7"/>
      <c r="F413" s="101">
        <f>F417</f>
        <v>4900000</v>
      </c>
      <c r="G413" s="101">
        <f>G417</f>
        <v>5530000</v>
      </c>
      <c r="H413" s="101">
        <f>H417</f>
        <v>5590000</v>
      </c>
      <c r="I413" s="101">
        <f>I417</f>
        <v>5790000</v>
      </c>
      <c r="J413" s="103">
        <f>SUM(F413:I413)</f>
        <v>21810000</v>
      </c>
    </row>
    <row r="414" spans="1:11" x14ac:dyDescent="0.2">
      <c r="A414" s="10"/>
      <c r="B414" s="11"/>
      <c r="C414" s="206"/>
      <c r="D414" s="206"/>
      <c r="E414" s="206"/>
      <c r="F414" s="12"/>
      <c r="G414" s="12"/>
      <c r="H414" s="12"/>
      <c r="I414" s="12"/>
      <c r="J414" s="13"/>
    </row>
    <row r="415" spans="1:11" x14ac:dyDescent="0.2">
      <c r="A415" s="207" t="s">
        <v>8</v>
      </c>
      <c r="B415" s="215" t="s">
        <v>9</v>
      </c>
      <c r="C415" s="215" t="s">
        <v>10</v>
      </c>
      <c r="D415" s="215"/>
      <c r="E415" s="215"/>
      <c r="F415" s="197">
        <f>F412</f>
        <v>2026</v>
      </c>
      <c r="G415" s="197">
        <f>G412</f>
        <v>2027</v>
      </c>
      <c r="H415" s="197">
        <f>H412</f>
        <v>2028</v>
      </c>
      <c r="I415" s="197">
        <f>I412</f>
        <v>2029</v>
      </c>
      <c r="J415" s="214" t="s">
        <v>11</v>
      </c>
    </row>
    <row r="416" spans="1:11" x14ac:dyDescent="0.2">
      <c r="A416" s="207"/>
      <c r="B416" s="215"/>
      <c r="C416" s="215"/>
      <c r="D416" s="215"/>
      <c r="E416" s="215"/>
      <c r="F416" s="197"/>
      <c r="G416" s="197"/>
      <c r="H416" s="197"/>
      <c r="I416" s="197"/>
      <c r="J416" s="214"/>
    </row>
    <row r="417" spans="1:10" ht="13.5" thickBot="1" x14ac:dyDescent="0.25">
      <c r="A417" s="14" t="s">
        <v>12</v>
      </c>
      <c r="B417" s="197">
        <v>2084</v>
      </c>
      <c r="C417" s="199" t="str">
        <f>'Anexo IV -Projetos e Ativid '!C136</f>
        <v>MANUTENÇÃO DAS ATIVIDIDADES DA AUTARQUIA</v>
      </c>
      <c r="D417" s="199"/>
      <c r="E417" s="199"/>
      <c r="F417" s="200">
        <f>'Anexo IV -Projetos e Ativid '!D136</f>
        <v>4900000</v>
      </c>
      <c r="G417" s="200">
        <f>'Anexo IV -Projetos e Ativid '!E136</f>
        <v>5530000</v>
      </c>
      <c r="H417" s="200">
        <f>'Anexo IV -Projetos e Ativid '!F136</f>
        <v>5590000</v>
      </c>
      <c r="I417" s="200">
        <f>'Anexo IV -Projetos e Ativid '!G136</f>
        <v>5790000</v>
      </c>
      <c r="J417" s="202">
        <f>SUM(F417:I417)</f>
        <v>21810000</v>
      </c>
    </row>
    <row r="418" spans="1:10" ht="13.5" customHeight="1" thickBot="1" x14ac:dyDescent="0.25">
      <c r="A418" s="104"/>
      <c r="B418" s="197"/>
      <c r="C418" s="199"/>
      <c r="D418" s="199"/>
      <c r="E418" s="199"/>
      <c r="F418" s="200"/>
      <c r="G418" s="200"/>
      <c r="H418" s="200"/>
      <c r="I418" s="200"/>
      <c r="J418" s="202"/>
    </row>
    <row r="419" spans="1:10" ht="12.75" customHeight="1" thickBot="1" x14ac:dyDescent="0.25">
      <c r="H419" s="1"/>
    </row>
    <row r="420" spans="1:10" ht="13.5" thickBot="1" x14ac:dyDescent="0.25">
      <c r="A420" s="210" t="s">
        <v>2</v>
      </c>
      <c r="B420" s="210"/>
      <c r="C420" s="211" t="str">
        <f>'[1]Anexo II - Resumo dos Programas'!B23</f>
        <v>Manutenção dos Serviços de Água</v>
      </c>
      <c r="D420" s="211"/>
      <c r="E420" s="211"/>
      <c r="F420" s="211"/>
      <c r="G420" s="211"/>
      <c r="H420" s="211"/>
      <c r="I420" s="211"/>
      <c r="J420" s="211"/>
    </row>
    <row r="421" spans="1:10" ht="13.5" thickBot="1" x14ac:dyDescent="0.25">
      <c r="A421" s="210" t="s">
        <v>4</v>
      </c>
      <c r="B421" s="210"/>
      <c r="C421" s="211" t="s">
        <v>35</v>
      </c>
      <c r="D421" s="211"/>
      <c r="E421" s="211"/>
      <c r="F421" s="211"/>
      <c r="G421" s="211"/>
      <c r="H421" s="211"/>
      <c r="I421" s="211"/>
      <c r="J421" s="211"/>
    </row>
    <row r="422" spans="1:10" ht="13.5" thickBot="1" x14ac:dyDescent="0.25">
      <c r="A422" s="2"/>
      <c r="B422" s="2"/>
      <c r="C422" s="211"/>
      <c r="D422" s="211"/>
      <c r="E422" s="211"/>
      <c r="F422" s="211"/>
      <c r="G422" s="211"/>
      <c r="H422" s="211"/>
      <c r="I422" s="211"/>
      <c r="J422" s="211"/>
    </row>
    <row r="423" spans="1:10" ht="13.5" thickBot="1" x14ac:dyDescent="0.25">
      <c r="A423" s="2"/>
      <c r="B423" s="2"/>
      <c r="C423" s="211"/>
      <c r="D423" s="211"/>
      <c r="E423" s="211"/>
      <c r="F423" s="211"/>
      <c r="G423" s="211"/>
      <c r="H423" s="211"/>
      <c r="I423" s="211"/>
      <c r="J423" s="211"/>
    </row>
    <row r="424" spans="1:10" ht="12.75" customHeight="1" thickBot="1" x14ac:dyDescent="0.25">
      <c r="A424" s="2"/>
      <c r="B424" s="2"/>
      <c r="C424" s="211"/>
      <c r="D424" s="211"/>
      <c r="E424" s="211"/>
      <c r="F424" s="211"/>
      <c r="G424" s="211"/>
      <c r="H424" s="211"/>
      <c r="I424" s="211"/>
      <c r="J424" s="211"/>
    </row>
    <row r="425" spans="1:10" ht="12.75" customHeight="1" thickBot="1" x14ac:dyDescent="0.25">
      <c r="A425" s="2"/>
      <c r="B425" s="2"/>
      <c r="C425" s="211"/>
      <c r="D425" s="211"/>
      <c r="E425" s="211"/>
      <c r="F425" s="211"/>
      <c r="G425" s="211"/>
      <c r="H425" s="211"/>
      <c r="I425" s="211"/>
      <c r="J425" s="211"/>
    </row>
    <row r="426" spans="1:10" x14ac:dyDescent="0.2">
      <c r="A426" s="216" t="s">
        <v>5</v>
      </c>
      <c r="B426" s="216"/>
      <c r="C426" s="216"/>
      <c r="D426" s="216"/>
      <c r="E426" s="100"/>
      <c r="F426" s="4">
        <v>2026</v>
      </c>
      <c r="G426" s="4">
        <v>2027</v>
      </c>
      <c r="H426" s="4">
        <v>2028</v>
      </c>
      <c r="I426" s="4">
        <v>2029</v>
      </c>
      <c r="J426" s="102" t="s">
        <v>6</v>
      </c>
    </row>
    <row r="427" spans="1:10" ht="12.75" customHeight="1" x14ac:dyDescent="0.2">
      <c r="A427" s="213" t="s">
        <v>7</v>
      </c>
      <c r="B427" s="213"/>
      <c r="C427" s="213"/>
      <c r="D427" s="6"/>
      <c r="E427" s="7"/>
      <c r="F427" s="101">
        <f>F431+F433</f>
        <v>9300000</v>
      </c>
      <c r="G427" s="101">
        <f>G431+G433</f>
        <v>9070000</v>
      </c>
      <c r="H427" s="101">
        <f>H431+H433</f>
        <v>9110000</v>
      </c>
      <c r="I427" s="101">
        <f>I431+I433</f>
        <v>9210000</v>
      </c>
      <c r="J427" s="103">
        <f>SUM(F427:I427)</f>
        <v>36690000</v>
      </c>
    </row>
    <row r="428" spans="1:10" x14ac:dyDescent="0.2">
      <c r="A428" s="10"/>
      <c r="B428" s="11"/>
      <c r="C428" s="206"/>
      <c r="D428" s="206"/>
      <c r="E428" s="206"/>
      <c r="F428" s="12"/>
      <c r="G428" s="12"/>
      <c r="H428" s="12"/>
      <c r="I428" s="12"/>
      <c r="J428" s="13"/>
    </row>
    <row r="429" spans="1:10" x14ac:dyDescent="0.2">
      <c r="A429" s="207" t="s">
        <v>8</v>
      </c>
      <c r="B429" s="215" t="s">
        <v>9</v>
      </c>
      <c r="C429" s="215" t="s">
        <v>10</v>
      </c>
      <c r="D429" s="215"/>
      <c r="E429" s="215"/>
      <c r="F429" s="197">
        <f>F426</f>
        <v>2026</v>
      </c>
      <c r="G429" s="197">
        <f>G426</f>
        <v>2027</v>
      </c>
      <c r="H429" s="197">
        <f>H426</f>
        <v>2028</v>
      </c>
      <c r="I429" s="197">
        <f>I426</f>
        <v>2029</v>
      </c>
      <c r="J429" s="214" t="s">
        <v>11</v>
      </c>
    </row>
    <row r="430" spans="1:10" x14ac:dyDescent="0.2">
      <c r="A430" s="207"/>
      <c r="B430" s="215"/>
      <c r="C430" s="215"/>
      <c r="D430" s="215"/>
      <c r="E430" s="215"/>
      <c r="F430" s="197"/>
      <c r="G430" s="197"/>
      <c r="H430" s="197"/>
      <c r="I430" s="197"/>
      <c r="J430" s="214"/>
    </row>
    <row r="431" spans="1:10" ht="13.5" thickBot="1" x14ac:dyDescent="0.25">
      <c r="A431" s="14" t="s">
        <v>12</v>
      </c>
      <c r="B431" s="197">
        <v>2085</v>
      </c>
      <c r="C431" s="199" t="str">
        <f>'Anexo IV -Projetos e Ativid '!C137</f>
        <v>MANUTENÇÃO DAS REDES DE ÁGUA</v>
      </c>
      <c r="D431" s="199"/>
      <c r="E431" s="199"/>
      <c r="F431" s="200">
        <f>'Anexo IV -Projetos e Ativid '!D137</f>
        <v>8050000</v>
      </c>
      <c r="G431" s="200">
        <f>'Anexo IV -Projetos e Ativid '!E137</f>
        <v>8060000</v>
      </c>
      <c r="H431" s="200">
        <f>'Anexo IV -Projetos e Ativid '!F137</f>
        <v>8070000</v>
      </c>
      <c r="I431" s="200">
        <f>'Anexo IV -Projetos e Ativid '!G137</f>
        <v>8080000</v>
      </c>
      <c r="J431" s="202">
        <f>SUM(F431:I431)</f>
        <v>32260000</v>
      </c>
    </row>
    <row r="432" spans="1:10" ht="13.5" thickBot="1" x14ac:dyDescent="0.25">
      <c r="A432" s="104"/>
      <c r="B432" s="197"/>
      <c r="C432" s="199"/>
      <c r="D432" s="199"/>
      <c r="E432" s="199"/>
      <c r="F432" s="200"/>
      <c r="G432" s="200"/>
      <c r="H432" s="200"/>
      <c r="I432" s="200"/>
      <c r="J432" s="202"/>
    </row>
    <row r="433" spans="1:10" ht="13.5" thickBot="1" x14ac:dyDescent="0.25">
      <c r="A433" s="14" t="s">
        <v>12</v>
      </c>
      <c r="B433" s="197">
        <v>2087</v>
      </c>
      <c r="C433" s="199" t="str">
        <f>'Anexo IV -Projetos e Ativid '!C138</f>
        <v>MANUTENÇÃO E OPERAÇÃO DO SISTEMA DE ESGOTO</v>
      </c>
      <c r="D433" s="199"/>
      <c r="E433" s="199"/>
      <c r="F433" s="200">
        <f>'Anexo IV -Projetos e Ativid '!D138</f>
        <v>1250000</v>
      </c>
      <c r="G433" s="200">
        <f>'Anexo IV -Projetos e Ativid '!E138</f>
        <v>1010000</v>
      </c>
      <c r="H433" s="200">
        <f>'Anexo IV -Projetos e Ativid '!F138</f>
        <v>1040000</v>
      </c>
      <c r="I433" s="200">
        <f>'Anexo IV -Projetos e Ativid '!G138</f>
        <v>1130000</v>
      </c>
      <c r="J433" s="202">
        <f>SUM(F433:I433)</f>
        <v>4430000</v>
      </c>
    </row>
    <row r="434" spans="1:10" ht="13.5" customHeight="1" thickBot="1" x14ac:dyDescent="0.25">
      <c r="A434" s="104"/>
      <c r="B434" s="197"/>
      <c r="C434" s="199"/>
      <c r="D434" s="199"/>
      <c r="E434" s="199"/>
      <c r="F434" s="200"/>
      <c r="G434" s="200"/>
      <c r="H434" s="200"/>
      <c r="I434" s="200"/>
      <c r="J434" s="202"/>
    </row>
    <row r="435" spans="1:10" ht="12.75" customHeight="1" thickBot="1" x14ac:dyDescent="0.25"/>
    <row r="436" spans="1:10" ht="13.5" thickBot="1" x14ac:dyDescent="0.25">
      <c r="A436" s="210" t="s">
        <v>2</v>
      </c>
      <c r="B436" s="210"/>
      <c r="C436" s="211" t="str">
        <f>'[1]Anexo II - Resumo dos Programas'!B24</f>
        <v>RPPS</v>
      </c>
      <c r="D436" s="211"/>
      <c r="E436" s="211"/>
      <c r="F436" s="211"/>
      <c r="G436" s="211"/>
      <c r="H436" s="211"/>
      <c r="I436" s="211"/>
      <c r="J436" s="211"/>
    </row>
    <row r="437" spans="1:10" ht="13.5" thickBot="1" x14ac:dyDescent="0.25">
      <c r="A437" s="210" t="s">
        <v>4</v>
      </c>
      <c r="B437" s="210"/>
      <c r="C437" s="211" t="s">
        <v>36</v>
      </c>
      <c r="D437" s="211"/>
      <c r="E437" s="211"/>
      <c r="F437" s="211"/>
      <c r="G437" s="211"/>
      <c r="H437" s="211"/>
      <c r="I437" s="211"/>
      <c r="J437" s="211"/>
    </row>
    <row r="438" spans="1:10" ht="13.5" thickBot="1" x14ac:dyDescent="0.25">
      <c r="A438" s="2"/>
      <c r="B438" s="2"/>
      <c r="C438" s="211"/>
      <c r="D438" s="211"/>
      <c r="E438" s="211"/>
      <c r="F438" s="211"/>
      <c r="G438" s="211"/>
      <c r="H438" s="211"/>
      <c r="I438" s="211"/>
      <c r="J438" s="211"/>
    </row>
    <row r="439" spans="1:10" ht="13.5" thickBot="1" x14ac:dyDescent="0.25">
      <c r="A439" s="2"/>
      <c r="B439" s="2"/>
      <c r="C439" s="211"/>
      <c r="D439" s="211"/>
      <c r="E439" s="211"/>
      <c r="F439" s="211"/>
      <c r="G439" s="211"/>
      <c r="H439" s="211"/>
      <c r="I439" s="211"/>
      <c r="J439" s="211"/>
    </row>
    <row r="440" spans="1:10" ht="12.75" customHeight="1" thickBot="1" x14ac:dyDescent="0.25">
      <c r="A440" s="2"/>
      <c r="B440" s="2"/>
      <c r="C440" s="211"/>
      <c r="D440" s="211"/>
      <c r="E440" s="211"/>
      <c r="F440" s="211"/>
      <c r="G440" s="211"/>
      <c r="H440" s="211"/>
      <c r="I440" s="211"/>
      <c r="J440" s="211"/>
    </row>
    <row r="441" spans="1:10" ht="12.75" customHeight="1" thickBot="1" x14ac:dyDescent="0.25">
      <c r="A441" s="2"/>
      <c r="B441" s="2"/>
      <c r="C441" s="211"/>
      <c r="D441" s="211"/>
      <c r="E441" s="211"/>
      <c r="F441" s="211"/>
      <c r="G441" s="211"/>
      <c r="H441" s="211"/>
      <c r="I441" s="211"/>
      <c r="J441" s="211"/>
    </row>
    <row r="442" spans="1:10" x14ac:dyDescent="0.2">
      <c r="A442" s="216" t="s">
        <v>5</v>
      </c>
      <c r="B442" s="216"/>
      <c r="C442" s="216"/>
      <c r="D442" s="216"/>
      <c r="E442" s="100"/>
      <c r="F442" s="4">
        <v>2026</v>
      </c>
      <c r="G442" s="4">
        <v>2027</v>
      </c>
      <c r="H442" s="4">
        <v>2028</v>
      </c>
      <c r="I442" s="4">
        <v>2029</v>
      </c>
      <c r="J442" s="102" t="s">
        <v>6</v>
      </c>
    </row>
    <row r="443" spans="1:10" ht="12.75" customHeight="1" x14ac:dyDescent="0.2">
      <c r="A443" s="213" t="s">
        <v>7</v>
      </c>
      <c r="B443" s="213"/>
      <c r="C443" s="213"/>
      <c r="D443" s="6"/>
      <c r="E443" s="7"/>
      <c r="F443" s="101">
        <f>F447+F449</f>
        <v>8900000</v>
      </c>
      <c r="G443" s="101">
        <f>G447+G449</f>
        <v>9420000</v>
      </c>
      <c r="H443" s="101">
        <f>H447+H449</f>
        <v>9960000</v>
      </c>
      <c r="I443" s="101">
        <f>I447+I449</f>
        <v>10500000</v>
      </c>
      <c r="J443" s="103">
        <f>SUM(F443:I443)</f>
        <v>38780000</v>
      </c>
    </row>
    <row r="444" spans="1:10" x14ac:dyDescent="0.2">
      <c r="A444" s="10"/>
      <c r="B444" s="11"/>
      <c r="C444" s="206"/>
      <c r="D444" s="206"/>
      <c r="E444" s="206"/>
      <c r="F444" s="12"/>
      <c r="G444" s="12"/>
      <c r="H444" s="12"/>
      <c r="I444" s="12"/>
      <c r="J444" s="13"/>
    </row>
    <row r="445" spans="1:10" x14ac:dyDescent="0.2">
      <c r="A445" s="207" t="s">
        <v>8</v>
      </c>
      <c r="B445" s="215" t="s">
        <v>9</v>
      </c>
      <c r="C445" s="215" t="s">
        <v>10</v>
      </c>
      <c r="D445" s="215"/>
      <c r="E445" s="215"/>
      <c r="F445" s="197">
        <f>F442</f>
        <v>2026</v>
      </c>
      <c r="G445" s="197">
        <f>G442</f>
        <v>2027</v>
      </c>
      <c r="H445" s="197">
        <f>H442</f>
        <v>2028</v>
      </c>
      <c r="I445" s="197">
        <f>I442</f>
        <v>2029</v>
      </c>
      <c r="J445" s="214" t="s">
        <v>11</v>
      </c>
    </row>
    <row r="446" spans="1:10" x14ac:dyDescent="0.2">
      <c r="A446" s="207"/>
      <c r="B446" s="215"/>
      <c r="C446" s="215"/>
      <c r="D446" s="215"/>
      <c r="E446" s="215"/>
      <c r="F446" s="197"/>
      <c r="G446" s="197"/>
      <c r="H446" s="197"/>
      <c r="I446" s="197"/>
      <c r="J446" s="214"/>
    </row>
    <row r="447" spans="1:10" ht="13.5" thickBot="1" x14ac:dyDescent="0.25">
      <c r="A447" s="14" t="s">
        <v>12</v>
      </c>
      <c r="B447" s="197">
        <f>'Anexo IV -Projetos e Ativid '!B127</f>
        <v>2095</v>
      </c>
      <c r="C447" s="199" t="str">
        <f>'Anexo IV -Projetos e Ativid '!C127</f>
        <v>APOIO ADMINISTRATIVO DO RPPS</v>
      </c>
      <c r="D447" s="199"/>
      <c r="E447" s="199"/>
      <c r="F447" s="200">
        <f>'Anexo IV -Projetos e Ativid '!D127</f>
        <v>400000</v>
      </c>
      <c r="G447" s="200">
        <f>'Anexo IV -Projetos e Ativid '!E127</f>
        <v>420000</v>
      </c>
      <c r="H447" s="200">
        <f>'Anexo IV -Projetos e Ativid '!F127</f>
        <v>460000</v>
      </c>
      <c r="I447" s="200">
        <f>'Anexo IV -Projetos e Ativid '!G127</f>
        <v>500000</v>
      </c>
      <c r="J447" s="202">
        <f>SUM(F447:I447)</f>
        <v>1780000</v>
      </c>
    </row>
    <row r="448" spans="1:10" ht="13.5" thickBot="1" x14ac:dyDescent="0.25">
      <c r="A448" s="104"/>
      <c r="B448" s="197"/>
      <c r="C448" s="199"/>
      <c r="D448" s="199"/>
      <c r="E448" s="199"/>
      <c r="F448" s="200"/>
      <c r="G448" s="200"/>
      <c r="H448" s="200"/>
      <c r="I448" s="200"/>
      <c r="J448" s="202"/>
    </row>
    <row r="449" spans="1:10" ht="13.5" thickBot="1" x14ac:dyDescent="0.25">
      <c r="A449" s="14" t="s">
        <v>37</v>
      </c>
      <c r="B449" s="197" t="str">
        <f>'Anexo IV -Projetos e Ativid '!B128</f>
        <v>0007</v>
      </c>
      <c r="C449" s="199" t="str">
        <f>'Anexo IV -Projetos e Ativid '!C128</f>
        <v>PAGAMENTO BENEFÍCIOS PREVIDENCIÁRIOS RPPS</v>
      </c>
      <c r="D449" s="199"/>
      <c r="E449" s="199"/>
      <c r="F449" s="200">
        <f>'Anexo IV -Projetos e Ativid '!D128</f>
        <v>8500000</v>
      </c>
      <c r="G449" s="200">
        <f>'Anexo IV -Projetos e Ativid '!E128</f>
        <v>9000000</v>
      </c>
      <c r="H449" s="200">
        <f>'Anexo IV -Projetos e Ativid '!F128</f>
        <v>9500000</v>
      </c>
      <c r="I449" s="200">
        <f>'Anexo IV -Projetos e Ativid '!G128</f>
        <v>10000000</v>
      </c>
      <c r="J449" s="202">
        <f>SUM(F449:I449)</f>
        <v>37000000</v>
      </c>
    </row>
    <row r="450" spans="1:10" ht="13.5" thickBot="1" x14ac:dyDescent="0.25">
      <c r="A450" s="104"/>
      <c r="B450" s="197"/>
      <c r="C450" s="199"/>
      <c r="D450" s="199"/>
      <c r="E450" s="199"/>
      <c r="F450" s="200"/>
      <c r="G450" s="200"/>
      <c r="H450" s="200"/>
      <c r="I450" s="200"/>
      <c r="J450" s="202"/>
    </row>
    <row r="451" spans="1:10" ht="13.5" customHeight="1" thickBot="1" x14ac:dyDescent="0.25">
      <c r="A451" s="209" t="s">
        <v>38</v>
      </c>
      <c r="B451" s="209"/>
      <c r="C451" s="209"/>
      <c r="D451" s="209"/>
      <c r="E451" s="209"/>
      <c r="F451" s="209"/>
      <c r="G451" s="209"/>
      <c r="H451" s="209"/>
      <c r="I451" s="209"/>
      <c r="J451" s="209"/>
    </row>
    <row r="452" spans="1:10" ht="12.75" customHeight="1" thickBot="1" x14ac:dyDescent="0.25"/>
    <row r="453" spans="1:10" ht="12.75" customHeight="1" thickBot="1" x14ac:dyDescent="0.25">
      <c r="A453" s="210" t="s">
        <v>2</v>
      </c>
      <c r="B453" s="210"/>
      <c r="C453" s="211" t="s">
        <v>39</v>
      </c>
      <c r="D453" s="211"/>
      <c r="E453" s="211"/>
      <c r="F453" s="211"/>
      <c r="G453" s="211"/>
      <c r="H453" s="211"/>
      <c r="I453" s="211"/>
      <c r="J453" s="211"/>
    </row>
    <row r="454" spans="1:10" x14ac:dyDescent="0.2">
      <c r="A454" s="212" t="s">
        <v>5</v>
      </c>
      <c r="B454" s="212"/>
      <c r="C454" s="212"/>
      <c r="D454" s="212"/>
      <c r="E454" s="3"/>
      <c r="F454" s="4">
        <v>2026</v>
      </c>
      <c r="G454" s="4">
        <v>2027</v>
      </c>
      <c r="H454" s="34">
        <v>2028</v>
      </c>
      <c r="I454" s="4">
        <v>2029</v>
      </c>
      <c r="J454" s="5" t="s">
        <v>6</v>
      </c>
    </row>
    <row r="455" spans="1:10" ht="12.75" customHeight="1" x14ac:dyDescent="0.2">
      <c r="A455" s="213" t="s">
        <v>7</v>
      </c>
      <c r="B455" s="213"/>
      <c r="C455" s="213"/>
      <c r="D455" s="6"/>
      <c r="E455" s="7"/>
      <c r="F455" s="8">
        <f>(SUM(F459:F469))</f>
        <v>31480000</v>
      </c>
      <c r="G455" s="8">
        <f>(SUM(G459:G469))</f>
        <v>31460000</v>
      </c>
      <c r="H455" s="105">
        <f>(SUM(H459:H469))</f>
        <v>33320000</v>
      </c>
      <c r="I455" s="8">
        <f>(SUM(I459:I469))</f>
        <v>32880000</v>
      </c>
      <c r="J455" s="9">
        <f>SUM(F455:I455)</f>
        <v>129140000</v>
      </c>
    </row>
    <row r="456" spans="1:10" x14ac:dyDescent="0.2">
      <c r="A456" s="10"/>
      <c r="B456" s="11"/>
      <c r="C456" s="206"/>
      <c r="D456" s="206"/>
      <c r="E456" s="206"/>
      <c r="F456" s="12"/>
      <c r="G456" s="12"/>
      <c r="H456" s="35"/>
      <c r="I456" s="12"/>
      <c r="J456" s="13"/>
    </row>
    <row r="457" spans="1:10" ht="12.75" customHeight="1" x14ac:dyDescent="0.2">
      <c r="A457" s="207" t="s">
        <v>8</v>
      </c>
      <c r="B457" s="208" t="s">
        <v>9</v>
      </c>
      <c r="C457" s="208" t="s">
        <v>10</v>
      </c>
      <c r="D457" s="208"/>
      <c r="E457" s="208"/>
      <c r="F457" s="197">
        <f>F454</f>
        <v>2026</v>
      </c>
      <c r="G457" s="197">
        <f>G454</f>
        <v>2027</v>
      </c>
      <c r="H457" s="203">
        <f>H454</f>
        <v>2028</v>
      </c>
      <c r="I457" s="197">
        <f>I454</f>
        <v>2029</v>
      </c>
      <c r="J457" s="204" t="s">
        <v>11</v>
      </c>
    </row>
    <row r="458" spans="1:10" x14ac:dyDescent="0.2">
      <c r="A458" s="207"/>
      <c r="B458" s="208"/>
      <c r="C458" s="208"/>
      <c r="D458" s="208"/>
      <c r="E458" s="208"/>
      <c r="F458" s="197"/>
      <c r="G458" s="197"/>
      <c r="H458" s="203"/>
      <c r="I458" s="197"/>
      <c r="J458" s="204"/>
    </row>
    <row r="459" spans="1:10" ht="13.5" thickBot="1" x14ac:dyDescent="0.25">
      <c r="A459" s="14" t="s">
        <v>37</v>
      </c>
      <c r="B459" s="197">
        <v>6</v>
      </c>
      <c r="C459" s="199" t="s">
        <v>40</v>
      </c>
      <c r="D459" s="199"/>
      <c r="E459" s="199"/>
      <c r="F459" s="200">
        <f>'Anexo IV -Projetos e Ativid '!D87</f>
        <v>3100000</v>
      </c>
      <c r="G459" s="200">
        <f>'Anexo IV -Projetos e Ativid '!E87</f>
        <v>3300000</v>
      </c>
      <c r="H459" s="200">
        <f>'Anexo IV -Projetos e Ativid '!F87</f>
        <v>3500000</v>
      </c>
      <c r="I459" s="200">
        <f>'Anexo IV -Projetos e Ativid '!G87</f>
        <v>3700000</v>
      </c>
      <c r="J459" s="205">
        <f>SUM(F459:I459)</f>
        <v>13600000</v>
      </c>
    </row>
    <row r="460" spans="1:10" ht="13.5" thickBot="1" x14ac:dyDescent="0.25">
      <c r="A460" s="15"/>
      <c r="B460" s="197"/>
      <c r="C460" s="199"/>
      <c r="D460" s="199"/>
      <c r="E460" s="199"/>
      <c r="F460" s="200"/>
      <c r="G460" s="200"/>
      <c r="H460" s="200"/>
      <c r="I460" s="200"/>
      <c r="J460" s="205"/>
    </row>
    <row r="461" spans="1:10" ht="13.5" thickBot="1" x14ac:dyDescent="0.25">
      <c r="A461" s="14" t="s">
        <v>37</v>
      </c>
      <c r="B461" s="197">
        <v>2060</v>
      </c>
      <c r="C461" s="199" t="s">
        <v>273</v>
      </c>
      <c r="D461" s="199"/>
      <c r="E461" s="199"/>
      <c r="F461" s="200">
        <f>'Anexo IV -Projetos e Ativid '!D86</f>
        <v>5880000</v>
      </c>
      <c r="G461" s="200">
        <f>'Anexo IV -Projetos e Ativid '!E86</f>
        <v>5980000</v>
      </c>
      <c r="H461" s="200">
        <f>'Anexo IV -Projetos e Ativid '!F86</f>
        <v>6080000</v>
      </c>
      <c r="I461" s="200">
        <f>'Anexo IV -Projetos e Ativid '!G86</f>
        <v>6180000</v>
      </c>
      <c r="J461" s="205">
        <f>SUM(F461:I461)</f>
        <v>24120000</v>
      </c>
    </row>
    <row r="462" spans="1:10" ht="13.5" thickBot="1" x14ac:dyDescent="0.25">
      <c r="A462" s="15"/>
      <c r="B462" s="197"/>
      <c r="C462" s="199"/>
      <c r="D462" s="199"/>
      <c r="E462" s="199"/>
      <c r="F462" s="200"/>
      <c r="G462" s="200"/>
      <c r="H462" s="200"/>
      <c r="I462" s="200"/>
      <c r="J462" s="205"/>
    </row>
    <row r="464" spans="1:10" ht="13.5" thickBot="1" x14ac:dyDescent="0.25">
      <c r="A464" s="14" t="s">
        <v>37</v>
      </c>
      <c r="B464" s="197" t="str">
        <f>'Anexo IV -Projetos e Ativid '!B129</f>
        <v>0008</v>
      </c>
      <c r="C464" s="199" t="str">
        <f>'Anexo IV -Projetos e Ativid '!C129</f>
        <v>ENCARGOS ESPECIAIS DE RESPONSABILIDADE DO RPPS</v>
      </c>
      <c r="D464" s="199"/>
      <c r="E464" s="199"/>
      <c r="F464" s="200">
        <f>'Anexo IV -Projetos e Ativid '!D129</f>
        <v>1500000</v>
      </c>
      <c r="G464" s="200">
        <f>'Anexo IV -Projetos e Ativid '!E129</f>
        <v>1980000</v>
      </c>
      <c r="H464" s="200">
        <f>'Anexo IV -Projetos e Ativid '!F129</f>
        <v>2300000</v>
      </c>
      <c r="I464" s="200">
        <f>'Anexo IV -Projetos e Ativid '!G129</f>
        <v>2350000</v>
      </c>
      <c r="J464" s="202">
        <f>SUM(F464:I464)</f>
        <v>8130000</v>
      </c>
    </row>
    <row r="465" spans="1:10" ht="13.5" thickBot="1" x14ac:dyDescent="0.25">
      <c r="A465" s="15"/>
      <c r="B465" s="197"/>
      <c r="C465" s="199"/>
      <c r="D465" s="199"/>
      <c r="E465" s="199"/>
      <c r="F465" s="200"/>
      <c r="G465" s="200"/>
      <c r="H465" s="200"/>
      <c r="I465" s="200"/>
      <c r="J465" s="202"/>
    </row>
    <row r="466" spans="1:10" ht="13.5" thickBot="1" x14ac:dyDescent="0.25">
      <c r="A466" s="14" t="s">
        <v>37</v>
      </c>
      <c r="B466" s="197">
        <v>3999</v>
      </c>
      <c r="C466" s="199" t="s">
        <v>271</v>
      </c>
      <c r="D466" s="199"/>
      <c r="E466" s="199"/>
      <c r="F466" s="200">
        <f>'Anexo IV -Projetos e Ativid '!D142</f>
        <v>1000000</v>
      </c>
      <c r="G466" s="200">
        <f>'Anexo IV -Projetos e Ativid '!E142</f>
        <v>1000000</v>
      </c>
      <c r="H466" s="200">
        <f>'Anexo IV -Projetos e Ativid '!F142</f>
        <v>1000000</v>
      </c>
      <c r="I466" s="200">
        <f>'Anexo IV -Projetos e Ativid '!G142</f>
        <v>1000000</v>
      </c>
      <c r="J466" s="202">
        <f>SUM(F466:I466)</f>
        <v>4000000</v>
      </c>
    </row>
    <row r="467" spans="1:10" ht="13.5" thickBot="1" x14ac:dyDescent="0.25">
      <c r="A467" s="15"/>
      <c r="B467" s="197"/>
      <c r="C467" s="199"/>
      <c r="D467" s="199"/>
      <c r="E467" s="199"/>
      <c r="F467" s="200"/>
      <c r="G467" s="200"/>
      <c r="H467" s="200"/>
      <c r="I467" s="200"/>
      <c r="J467" s="202"/>
    </row>
    <row r="468" spans="1:10" ht="13.5" thickBot="1" x14ac:dyDescent="0.25">
      <c r="A468" s="14" t="s">
        <v>37</v>
      </c>
      <c r="B468" s="197">
        <v>3999</v>
      </c>
      <c r="C468" s="199" t="s">
        <v>272</v>
      </c>
      <c r="D468" s="199"/>
      <c r="E468" s="199"/>
      <c r="F468" s="200">
        <f>'Anexo IV -Projetos e Ativid '!D130</f>
        <v>20000000</v>
      </c>
      <c r="G468" s="200">
        <f>'Anexo IV -Projetos e Ativid '!E130</f>
        <v>19200000</v>
      </c>
      <c r="H468" s="200">
        <f>'Anexo IV -Projetos e Ativid '!F130</f>
        <v>20440000</v>
      </c>
      <c r="I468" s="200">
        <f>'Anexo IV -Projetos e Ativid '!G130</f>
        <v>19650000</v>
      </c>
      <c r="J468" s="202">
        <f>SUM(F468:I468)</f>
        <v>79290000</v>
      </c>
    </row>
    <row r="469" spans="1:10" ht="13.5" thickBot="1" x14ac:dyDescent="0.25">
      <c r="A469" s="15"/>
      <c r="B469" s="197"/>
      <c r="C469" s="199"/>
      <c r="D469" s="199"/>
      <c r="E469" s="199"/>
      <c r="F469" s="200"/>
      <c r="G469" s="200"/>
      <c r="H469" s="200"/>
      <c r="I469" s="200"/>
      <c r="J469" s="202"/>
    </row>
    <row r="471" spans="1:10" x14ac:dyDescent="0.2">
      <c r="F471" s="19"/>
      <c r="G471" s="19"/>
      <c r="H471" s="38"/>
      <c r="I471" s="19"/>
      <c r="J471" s="19"/>
    </row>
  </sheetData>
  <sheetProtection selectLockedCells="1" selectUnlockedCells="1"/>
  <mergeCells count="1004">
    <mergeCell ref="J53:J54"/>
    <mergeCell ref="F55:F56"/>
    <mergeCell ref="I395:I396"/>
    <mergeCell ref="H196:H197"/>
    <mergeCell ref="G336:G337"/>
    <mergeCell ref="G397:G398"/>
    <mergeCell ref="H397:H398"/>
    <mergeCell ref="I397:I398"/>
    <mergeCell ref="C202:J206"/>
    <mergeCell ref="A207:D207"/>
    <mergeCell ref="I210:I211"/>
    <mergeCell ref="J214:J215"/>
    <mergeCell ref="I192:I193"/>
    <mergeCell ref="C290:E291"/>
    <mergeCell ref="C312:E313"/>
    <mergeCell ref="C268:E269"/>
    <mergeCell ref="C281:E281"/>
    <mergeCell ref="A202:B202"/>
    <mergeCell ref="C210:E211"/>
    <mergeCell ref="F210:F211"/>
    <mergeCell ref="G210:G211"/>
    <mergeCell ref="I214:I215"/>
    <mergeCell ref="J192:J193"/>
    <mergeCell ref="J194:J195"/>
    <mergeCell ref="J395:J396"/>
    <mergeCell ref="C196:E197"/>
    <mergeCell ref="B336:B337"/>
    <mergeCell ref="A208:C208"/>
    <mergeCell ref="C209:E209"/>
    <mergeCell ref="A210:A211"/>
    <mergeCell ref="B210:B211"/>
    <mergeCell ref="A225:D225"/>
    <mergeCell ref="A10:D10"/>
    <mergeCell ref="A11:C11"/>
    <mergeCell ref="C12:E12"/>
    <mergeCell ref="A13:A14"/>
    <mergeCell ref="B13:B14"/>
    <mergeCell ref="C13:E14"/>
    <mergeCell ref="A1:J1"/>
    <mergeCell ref="A2:J2"/>
    <mergeCell ref="A3:J3"/>
    <mergeCell ref="A4:B4"/>
    <mergeCell ref="C4:J4"/>
    <mergeCell ref="A5:B5"/>
    <mergeCell ref="C5:J9"/>
    <mergeCell ref="F397:F398"/>
    <mergeCell ref="B358:B359"/>
    <mergeCell ref="C358:E359"/>
    <mergeCell ref="F358:F359"/>
    <mergeCell ref="C352:E353"/>
    <mergeCell ref="C395:E396"/>
    <mergeCell ref="C397:E398"/>
    <mergeCell ref="B395:B396"/>
    <mergeCell ref="B397:B398"/>
    <mergeCell ref="C354:E355"/>
    <mergeCell ref="C191:E191"/>
    <mergeCell ref="A71:C71"/>
    <mergeCell ref="C72:E72"/>
    <mergeCell ref="A73:A74"/>
    <mergeCell ref="B73:B74"/>
    <mergeCell ref="C81:E82"/>
    <mergeCell ref="A116:C116"/>
    <mergeCell ref="C117:E117"/>
    <mergeCell ref="A118:A119"/>
    <mergeCell ref="I15:I16"/>
    <mergeCell ref="J15:J16"/>
    <mergeCell ref="A20:B20"/>
    <mergeCell ref="C20:J20"/>
    <mergeCell ref="A21:B21"/>
    <mergeCell ref="C21:J25"/>
    <mergeCell ref="C17:E18"/>
    <mergeCell ref="B17:B18"/>
    <mergeCell ref="F17:F18"/>
    <mergeCell ref="F13:F14"/>
    <mergeCell ref="G13:G14"/>
    <mergeCell ref="H13:H14"/>
    <mergeCell ref="I13:I14"/>
    <mergeCell ref="J13:J14"/>
    <mergeCell ref="B15:B16"/>
    <mergeCell ref="C15:E16"/>
    <mergeCell ref="F15:F16"/>
    <mergeCell ref="G15:G16"/>
    <mergeCell ref="H15:H16"/>
    <mergeCell ref="J17:J18"/>
    <mergeCell ref="G17:G18"/>
    <mergeCell ref="H17:H18"/>
    <mergeCell ref="I17:I18"/>
    <mergeCell ref="F29:F30"/>
    <mergeCell ref="G29:G30"/>
    <mergeCell ref="H29:H30"/>
    <mergeCell ref="I29:I30"/>
    <mergeCell ref="J29:J30"/>
    <mergeCell ref="I31:I32"/>
    <mergeCell ref="J31:J32"/>
    <mergeCell ref="B31:B32"/>
    <mergeCell ref="C31:E32"/>
    <mergeCell ref="F31:F32"/>
    <mergeCell ref="G31:G32"/>
    <mergeCell ref="H31:H32"/>
    <mergeCell ref="A26:D26"/>
    <mergeCell ref="A27:C27"/>
    <mergeCell ref="C28:E28"/>
    <mergeCell ref="A29:A30"/>
    <mergeCell ref="B29:B30"/>
    <mergeCell ref="C29:E30"/>
    <mergeCell ref="A45:C45"/>
    <mergeCell ref="C46:E46"/>
    <mergeCell ref="A47:A48"/>
    <mergeCell ref="B47:B48"/>
    <mergeCell ref="C47:E48"/>
    <mergeCell ref="F47:F48"/>
    <mergeCell ref="J35:J36"/>
    <mergeCell ref="A38:B38"/>
    <mergeCell ref="C38:J38"/>
    <mergeCell ref="A39:B39"/>
    <mergeCell ref="C39:J43"/>
    <mergeCell ref="A44:D44"/>
    <mergeCell ref="B35:B36"/>
    <mergeCell ref="C35:E36"/>
    <mergeCell ref="F35:F36"/>
    <mergeCell ref="G35:G36"/>
    <mergeCell ref="B33:B34"/>
    <mergeCell ref="C33:E34"/>
    <mergeCell ref="F33:F34"/>
    <mergeCell ref="G33:G34"/>
    <mergeCell ref="H33:H34"/>
    <mergeCell ref="I33:I34"/>
    <mergeCell ref="J33:J34"/>
    <mergeCell ref="H35:H36"/>
    <mergeCell ref="I35:I36"/>
    <mergeCell ref="G47:G48"/>
    <mergeCell ref="B53:B54"/>
    <mergeCell ref="F53:F54"/>
    <mergeCell ref="G53:G54"/>
    <mergeCell ref="H53:H54"/>
    <mergeCell ref="I53:I54"/>
    <mergeCell ref="F57:F58"/>
    <mergeCell ref="G57:G58"/>
    <mergeCell ref="H57:H58"/>
    <mergeCell ref="I57:I58"/>
    <mergeCell ref="B55:B56"/>
    <mergeCell ref="B51:B52"/>
    <mergeCell ref="F51:F52"/>
    <mergeCell ref="G51:G52"/>
    <mergeCell ref="H51:H52"/>
    <mergeCell ref="I51:I52"/>
    <mergeCell ref="J51:J52"/>
    <mergeCell ref="H47:H48"/>
    <mergeCell ref="I47:I48"/>
    <mergeCell ref="J47:J48"/>
    <mergeCell ref="B49:B50"/>
    <mergeCell ref="F49:F50"/>
    <mergeCell ref="G49:G50"/>
    <mergeCell ref="H49:H50"/>
    <mergeCell ref="I49:I50"/>
    <mergeCell ref="J49:J50"/>
    <mergeCell ref="C49:E50"/>
    <mergeCell ref="C51:E52"/>
    <mergeCell ref="C53:E54"/>
    <mergeCell ref="C55:E56"/>
    <mergeCell ref="C57:E58"/>
    <mergeCell ref="I55:I56"/>
    <mergeCell ref="J55:J56"/>
    <mergeCell ref="J59:J60"/>
    <mergeCell ref="B57:B58"/>
    <mergeCell ref="A64:B64"/>
    <mergeCell ref="A65:B65"/>
    <mergeCell ref="C65:J69"/>
    <mergeCell ref="A70:D70"/>
    <mergeCell ref="J61:J62"/>
    <mergeCell ref="H61:H62"/>
    <mergeCell ref="I61:I62"/>
    <mergeCell ref="G55:G56"/>
    <mergeCell ref="H55:H56"/>
    <mergeCell ref="J57:J58"/>
    <mergeCell ref="B59:B60"/>
    <mergeCell ref="C59:E60"/>
    <mergeCell ref="F59:F60"/>
    <mergeCell ref="G59:G60"/>
    <mergeCell ref="H59:H60"/>
    <mergeCell ref="I59:I60"/>
    <mergeCell ref="C64:J64"/>
    <mergeCell ref="J75:J76"/>
    <mergeCell ref="I77:I78"/>
    <mergeCell ref="J77:J78"/>
    <mergeCell ref="B75:B76"/>
    <mergeCell ref="C75:E76"/>
    <mergeCell ref="H336:H337"/>
    <mergeCell ref="I336:I337"/>
    <mergeCell ref="J336:J337"/>
    <mergeCell ref="B77:B78"/>
    <mergeCell ref="F77:F78"/>
    <mergeCell ref="F75:F76"/>
    <mergeCell ref="G75:G76"/>
    <mergeCell ref="H75:H76"/>
    <mergeCell ref="I75:I76"/>
    <mergeCell ref="C73:E74"/>
    <mergeCell ref="F73:F74"/>
    <mergeCell ref="G73:G74"/>
    <mergeCell ref="H73:H74"/>
    <mergeCell ref="I73:I74"/>
    <mergeCell ref="J73:J74"/>
    <mergeCell ref="B118:B119"/>
    <mergeCell ref="H290:H291"/>
    <mergeCell ref="C253:J253"/>
    <mergeCell ref="C266:E267"/>
    <mergeCell ref="C336:E337"/>
    <mergeCell ref="F336:F337"/>
    <mergeCell ref="C314:E315"/>
    <mergeCell ref="B292:B293"/>
    <mergeCell ref="C292:E293"/>
    <mergeCell ref="F292:F293"/>
    <mergeCell ref="G292:G293"/>
    <mergeCell ref="H292:H293"/>
    <mergeCell ref="G79:G80"/>
    <mergeCell ref="H79:H80"/>
    <mergeCell ref="I79:I80"/>
    <mergeCell ref="J81:J82"/>
    <mergeCell ref="B79:B80"/>
    <mergeCell ref="I85:I86"/>
    <mergeCell ref="J85:J86"/>
    <mergeCell ref="B83:B84"/>
    <mergeCell ref="F83:F84"/>
    <mergeCell ref="G83:G84"/>
    <mergeCell ref="G77:G78"/>
    <mergeCell ref="H77:H78"/>
    <mergeCell ref="J79:J80"/>
    <mergeCell ref="C77:E78"/>
    <mergeCell ref="C79:E80"/>
    <mergeCell ref="F81:F82"/>
    <mergeCell ref="G81:G82"/>
    <mergeCell ref="H81:H82"/>
    <mergeCell ref="I81:I82"/>
    <mergeCell ref="F79:F80"/>
    <mergeCell ref="C83:E84"/>
    <mergeCell ref="C85:E86"/>
    <mergeCell ref="G89:G90"/>
    <mergeCell ref="H89:H90"/>
    <mergeCell ref="I89:I90"/>
    <mergeCell ref="F87:F88"/>
    <mergeCell ref="G87:G88"/>
    <mergeCell ref="H87:H88"/>
    <mergeCell ref="I87:I88"/>
    <mergeCell ref="H83:H84"/>
    <mergeCell ref="I83:I84"/>
    <mergeCell ref="B81:B82"/>
    <mergeCell ref="J83:J84"/>
    <mergeCell ref="B85:B86"/>
    <mergeCell ref="F85:F86"/>
    <mergeCell ref="G85:G86"/>
    <mergeCell ref="H85:H86"/>
    <mergeCell ref="A100:D100"/>
    <mergeCell ref="A101:C101"/>
    <mergeCell ref="C102:E102"/>
    <mergeCell ref="A103:A104"/>
    <mergeCell ref="B103:B104"/>
    <mergeCell ref="C103:E104"/>
    <mergeCell ref="J89:J90"/>
    <mergeCell ref="B87:B88"/>
    <mergeCell ref="C87:E88"/>
    <mergeCell ref="A94:B94"/>
    <mergeCell ref="C94:J94"/>
    <mergeCell ref="A95:B95"/>
    <mergeCell ref="C95:J99"/>
    <mergeCell ref="B89:B90"/>
    <mergeCell ref="C89:E90"/>
    <mergeCell ref="F89:F90"/>
    <mergeCell ref="J87:J88"/>
    <mergeCell ref="F91:F92"/>
    <mergeCell ref="G91:G92"/>
    <mergeCell ref="H91:H92"/>
    <mergeCell ref="I91:I92"/>
    <mergeCell ref="J91:J92"/>
    <mergeCell ref="B91:B92"/>
    <mergeCell ref="C91:E92"/>
    <mergeCell ref="J105:J106"/>
    <mergeCell ref="A108:B108"/>
    <mergeCell ref="C108:J108"/>
    <mergeCell ref="A109:B109"/>
    <mergeCell ref="C109:J114"/>
    <mergeCell ref="A115:D115"/>
    <mergeCell ref="C105:E106"/>
    <mergeCell ref="F103:F104"/>
    <mergeCell ref="G103:G104"/>
    <mergeCell ref="H103:H104"/>
    <mergeCell ref="I103:I104"/>
    <mergeCell ref="J103:J104"/>
    <mergeCell ref="B105:B106"/>
    <mergeCell ref="F105:F106"/>
    <mergeCell ref="G105:G106"/>
    <mergeCell ref="H105:H106"/>
    <mergeCell ref="I105:I106"/>
    <mergeCell ref="C118:E119"/>
    <mergeCell ref="F118:F119"/>
    <mergeCell ref="G118:G119"/>
    <mergeCell ref="J122:J123"/>
    <mergeCell ref="A201:B201"/>
    <mergeCell ref="C201:J201"/>
    <mergeCell ref="A136:A137"/>
    <mergeCell ref="B136:B137"/>
    <mergeCell ref="C136:E137"/>
    <mergeCell ref="F136:F137"/>
    <mergeCell ref="B122:B123"/>
    <mergeCell ref="C122:E123"/>
    <mergeCell ref="F122:F123"/>
    <mergeCell ref="G122:G123"/>
    <mergeCell ref="H122:H123"/>
    <mergeCell ref="I122:I123"/>
    <mergeCell ref="J118:J119"/>
    <mergeCell ref="B120:B121"/>
    <mergeCell ref="F120:F121"/>
    <mergeCell ref="G120:G121"/>
    <mergeCell ref="H120:H121"/>
    <mergeCell ref="I120:I121"/>
    <mergeCell ref="J120:J121"/>
    <mergeCell ref="C120:E121"/>
    <mergeCell ref="H118:H119"/>
    <mergeCell ref="I118:I119"/>
    <mergeCell ref="B198:B199"/>
    <mergeCell ref="A125:B125"/>
    <mergeCell ref="C125:J125"/>
    <mergeCell ref="A126:B126"/>
    <mergeCell ref="C126:J132"/>
    <mergeCell ref="A133:D133"/>
    <mergeCell ref="A134:C134"/>
    <mergeCell ref="G136:G137"/>
    <mergeCell ref="H136:H137"/>
    <mergeCell ref="I136:I137"/>
    <mergeCell ref="I212:I213"/>
    <mergeCell ref="C135:E135"/>
    <mergeCell ref="B216:B217"/>
    <mergeCell ref="C216:E217"/>
    <mergeCell ref="F216:F217"/>
    <mergeCell ref="G216:G217"/>
    <mergeCell ref="H216:H217"/>
    <mergeCell ref="H210:H211"/>
    <mergeCell ref="B212:B213"/>
    <mergeCell ref="C180:E181"/>
    <mergeCell ref="J210:J211"/>
    <mergeCell ref="C212:E213"/>
    <mergeCell ref="F212:F213"/>
    <mergeCell ref="G212:G213"/>
    <mergeCell ref="H212:H213"/>
    <mergeCell ref="I216:I217"/>
    <mergeCell ref="J212:J213"/>
    <mergeCell ref="F214:F215"/>
    <mergeCell ref="G214:G215"/>
    <mergeCell ref="H214:H215"/>
    <mergeCell ref="J140:J141"/>
    <mergeCell ref="B142:B143"/>
    <mergeCell ref="C142:E143"/>
    <mergeCell ref="F142:F143"/>
    <mergeCell ref="G142:G143"/>
    <mergeCell ref="H142:H143"/>
    <mergeCell ref="I142:I143"/>
    <mergeCell ref="J142:J143"/>
    <mergeCell ref="B140:B141"/>
    <mergeCell ref="C140:E141"/>
    <mergeCell ref="F140:F141"/>
    <mergeCell ref="G140:G141"/>
    <mergeCell ref="H140:H141"/>
    <mergeCell ref="I140:I141"/>
    <mergeCell ref="J136:J137"/>
    <mergeCell ref="B138:B139"/>
    <mergeCell ref="C138:E139"/>
    <mergeCell ref="F138:F139"/>
    <mergeCell ref="G138:G139"/>
    <mergeCell ref="H138:H139"/>
    <mergeCell ref="I138:I139"/>
    <mergeCell ref="J138:J139"/>
    <mergeCell ref="J148:J149"/>
    <mergeCell ref="J150:J151"/>
    <mergeCell ref="B150:B151"/>
    <mergeCell ref="C150:E151"/>
    <mergeCell ref="F150:F151"/>
    <mergeCell ref="G150:G151"/>
    <mergeCell ref="H150:H151"/>
    <mergeCell ref="I150:I151"/>
    <mergeCell ref="B148:B149"/>
    <mergeCell ref="C148:E149"/>
    <mergeCell ref="F148:F149"/>
    <mergeCell ref="G148:G149"/>
    <mergeCell ref="H148:H149"/>
    <mergeCell ref="I148:I149"/>
    <mergeCell ref="J144:J145"/>
    <mergeCell ref="B146:B147"/>
    <mergeCell ref="C146:E147"/>
    <mergeCell ref="F146:F147"/>
    <mergeCell ref="G146:G147"/>
    <mergeCell ref="H146:H147"/>
    <mergeCell ref="I146:I147"/>
    <mergeCell ref="J146:J147"/>
    <mergeCell ref="B144:B145"/>
    <mergeCell ref="C144:E145"/>
    <mergeCell ref="F144:F145"/>
    <mergeCell ref="G144:G145"/>
    <mergeCell ref="H144:H145"/>
    <mergeCell ref="I144:I145"/>
    <mergeCell ref="J156:J157"/>
    <mergeCell ref="B158:B159"/>
    <mergeCell ref="C156:E157"/>
    <mergeCell ref="F158:F159"/>
    <mergeCell ref="G158:G159"/>
    <mergeCell ref="H158:H159"/>
    <mergeCell ref="I158:I159"/>
    <mergeCell ref="J158:J159"/>
    <mergeCell ref="B156:B157"/>
    <mergeCell ref="C158:E159"/>
    <mergeCell ref="I156:I157"/>
    <mergeCell ref="J152:J153"/>
    <mergeCell ref="B154:B155"/>
    <mergeCell ref="C154:E155"/>
    <mergeCell ref="F154:F155"/>
    <mergeCell ref="G154:G155"/>
    <mergeCell ref="H154:H155"/>
    <mergeCell ref="I154:I155"/>
    <mergeCell ref="J154:J155"/>
    <mergeCell ref="B152:B153"/>
    <mergeCell ref="C152:E153"/>
    <mergeCell ref="F152:F153"/>
    <mergeCell ref="G152:G153"/>
    <mergeCell ref="H152:H153"/>
    <mergeCell ref="I152:I153"/>
    <mergeCell ref="H176:H177"/>
    <mergeCell ref="I176:I177"/>
    <mergeCell ref="J176:J177"/>
    <mergeCell ref="B178:B179"/>
    <mergeCell ref="F178:F179"/>
    <mergeCell ref="G178:G179"/>
    <mergeCell ref="H178:H179"/>
    <mergeCell ref="I178:I179"/>
    <mergeCell ref="J178:J179"/>
    <mergeCell ref="C178:E179"/>
    <mergeCell ref="C175:E175"/>
    <mergeCell ref="A176:A177"/>
    <mergeCell ref="B176:B177"/>
    <mergeCell ref="C176:E177"/>
    <mergeCell ref="F176:F177"/>
    <mergeCell ref="G176:G177"/>
    <mergeCell ref="A165:B165"/>
    <mergeCell ref="C165:J165"/>
    <mergeCell ref="A166:B166"/>
    <mergeCell ref="C166:J170"/>
    <mergeCell ref="A173:D173"/>
    <mergeCell ref="A174:C174"/>
    <mergeCell ref="A192:A193"/>
    <mergeCell ref="B192:B193"/>
    <mergeCell ref="C192:E193"/>
    <mergeCell ref="F192:F193"/>
    <mergeCell ref="G192:G193"/>
    <mergeCell ref="H192:H193"/>
    <mergeCell ref="A183:B183"/>
    <mergeCell ref="C183:J183"/>
    <mergeCell ref="A184:B184"/>
    <mergeCell ref="C184:J188"/>
    <mergeCell ref="A189:D189"/>
    <mergeCell ref="A190:C190"/>
    <mergeCell ref="B180:B181"/>
    <mergeCell ref="F180:F181"/>
    <mergeCell ref="G180:G181"/>
    <mergeCell ref="H180:H181"/>
    <mergeCell ref="I180:I181"/>
    <mergeCell ref="J180:J181"/>
    <mergeCell ref="I196:I197"/>
    <mergeCell ref="J196:J197"/>
    <mergeCell ref="J198:J199"/>
    <mergeCell ref="A219:B219"/>
    <mergeCell ref="C219:J219"/>
    <mergeCell ref="A220:B220"/>
    <mergeCell ref="C220:J224"/>
    <mergeCell ref="J216:J217"/>
    <mergeCell ref="B214:B215"/>
    <mergeCell ref="C214:E215"/>
    <mergeCell ref="B194:B195"/>
    <mergeCell ref="F194:F195"/>
    <mergeCell ref="G194:G195"/>
    <mergeCell ref="H194:H195"/>
    <mergeCell ref="I194:I195"/>
    <mergeCell ref="H198:H199"/>
    <mergeCell ref="I198:I199"/>
    <mergeCell ref="B196:B197"/>
    <mergeCell ref="F196:F197"/>
    <mergeCell ref="G196:G197"/>
    <mergeCell ref="C194:E195"/>
    <mergeCell ref="H228:H229"/>
    <mergeCell ref="I228:I229"/>
    <mergeCell ref="J228:J229"/>
    <mergeCell ref="B230:B231"/>
    <mergeCell ref="C230:E231"/>
    <mergeCell ref="F230:F231"/>
    <mergeCell ref="G230:G231"/>
    <mergeCell ref="H230:H231"/>
    <mergeCell ref="I230:I231"/>
    <mergeCell ref="F198:F199"/>
    <mergeCell ref="G198:G199"/>
    <mergeCell ref="A226:C226"/>
    <mergeCell ref="C227:E227"/>
    <mergeCell ref="A228:A229"/>
    <mergeCell ref="B228:B229"/>
    <mergeCell ref="C228:E229"/>
    <mergeCell ref="F228:F229"/>
    <mergeCell ref="G228:G229"/>
    <mergeCell ref="C198:E199"/>
    <mergeCell ref="J232:J233"/>
    <mergeCell ref="A235:B235"/>
    <mergeCell ref="C235:J235"/>
    <mergeCell ref="A236:B236"/>
    <mergeCell ref="C236:J240"/>
    <mergeCell ref="A241:D241"/>
    <mergeCell ref="B232:B233"/>
    <mergeCell ref="C232:E233"/>
    <mergeCell ref="F232:F233"/>
    <mergeCell ref="G232:G233"/>
    <mergeCell ref="H232:H233"/>
    <mergeCell ref="I232:I233"/>
    <mergeCell ref="J230:J231"/>
    <mergeCell ref="G358:G359"/>
    <mergeCell ref="H358:H359"/>
    <mergeCell ref="I358:I359"/>
    <mergeCell ref="J358:J359"/>
    <mergeCell ref="G352:G353"/>
    <mergeCell ref="G354:G355"/>
    <mergeCell ref="G356:G357"/>
    <mergeCell ref="I292:I293"/>
    <mergeCell ref="A242:C242"/>
    <mergeCell ref="C243:E243"/>
    <mergeCell ref="C270:E271"/>
    <mergeCell ref="B270:B271"/>
    <mergeCell ref="F270:F271"/>
    <mergeCell ref="G270:G271"/>
    <mergeCell ref="H270:H271"/>
    <mergeCell ref="I270:I271"/>
    <mergeCell ref="J270:J271"/>
    <mergeCell ref="I246:I247"/>
    <mergeCell ref="A253:B253"/>
    <mergeCell ref="A254:B254"/>
    <mergeCell ref="C254:J260"/>
    <mergeCell ref="A261:D261"/>
    <mergeCell ref="B248:B249"/>
    <mergeCell ref="C248:E249"/>
    <mergeCell ref="F248:F249"/>
    <mergeCell ref="G248:G249"/>
    <mergeCell ref="B250:B251"/>
    <mergeCell ref="G246:G247"/>
    <mergeCell ref="H246:H247"/>
    <mergeCell ref="J246:J247"/>
    <mergeCell ref="H248:H249"/>
    <mergeCell ref="I248:I249"/>
    <mergeCell ref="G244:G245"/>
    <mergeCell ref="H244:H245"/>
    <mergeCell ref="I244:I245"/>
    <mergeCell ref="J244:J245"/>
    <mergeCell ref="J248:J249"/>
    <mergeCell ref="A244:A245"/>
    <mergeCell ref="B244:B245"/>
    <mergeCell ref="C244:E245"/>
    <mergeCell ref="F244:F245"/>
    <mergeCell ref="B246:B247"/>
    <mergeCell ref="C246:E247"/>
    <mergeCell ref="F246:F247"/>
    <mergeCell ref="F264:F265"/>
    <mergeCell ref="G264:G265"/>
    <mergeCell ref="H264:H265"/>
    <mergeCell ref="I264:I265"/>
    <mergeCell ref="J264:J265"/>
    <mergeCell ref="B266:B267"/>
    <mergeCell ref="F266:F267"/>
    <mergeCell ref="G266:G267"/>
    <mergeCell ref="H266:H267"/>
    <mergeCell ref="I266:I267"/>
    <mergeCell ref="C356:E357"/>
    <mergeCell ref="B352:B353"/>
    <mergeCell ref="B354:B355"/>
    <mergeCell ref="B356:B357"/>
    <mergeCell ref="A262:C262"/>
    <mergeCell ref="C263:E263"/>
    <mergeCell ref="A264:A265"/>
    <mergeCell ref="B264:B265"/>
    <mergeCell ref="C264:E265"/>
    <mergeCell ref="A273:B273"/>
    <mergeCell ref="C273:J273"/>
    <mergeCell ref="A274:B274"/>
    <mergeCell ref="C274:J278"/>
    <mergeCell ref="A279:D279"/>
    <mergeCell ref="A280:C280"/>
    <mergeCell ref="A282:A283"/>
    <mergeCell ref="B282:B283"/>
    <mergeCell ref="C282:E283"/>
    <mergeCell ref="F282:F283"/>
    <mergeCell ref="G282:G283"/>
    <mergeCell ref="J266:J267"/>
    <mergeCell ref="B268:B269"/>
    <mergeCell ref="F268:F269"/>
    <mergeCell ref="G268:G269"/>
    <mergeCell ref="H268:H269"/>
    <mergeCell ref="I268:I269"/>
    <mergeCell ref="J268:J269"/>
    <mergeCell ref="C284:E285"/>
    <mergeCell ref="G288:G289"/>
    <mergeCell ref="H288:H289"/>
    <mergeCell ref="I288:I289"/>
    <mergeCell ref="F286:F287"/>
    <mergeCell ref="G286:G287"/>
    <mergeCell ref="H286:H287"/>
    <mergeCell ref="I286:I287"/>
    <mergeCell ref="H282:H283"/>
    <mergeCell ref="I282:I283"/>
    <mergeCell ref="J282:J283"/>
    <mergeCell ref="J286:J287"/>
    <mergeCell ref="B284:B285"/>
    <mergeCell ref="F284:F285"/>
    <mergeCell ref="G284:G285"/>
    <mergeCell ref="H284:H285"/>
    <mergeCell ref="I284:I285"/>
    <mergeCell ref="J284:J285"/>
    <mergeCell ref="A303:D303"/>
    <mergeCell ref="B290:B291"/>
    <mergeCell ref="F290:F291"/>
    <mergeCell ref="G290:G291"/>
    <mergeCell ref="I290:I291"/>
    <mergeCell ref="J290:J291"/>
    <mergeCell ref="J292:J293"/>
    <mergeCell ref="J288:J289"/>
    <mergeCell ref="B286:B287"/>
    <mergeCell ref="C286:E287"/>
    <mergeCell ref="A295:B295"/>
    <mergeCell ref="C295:J295"/>
    <mergeCell ref="A296:B296"/>
    <mergeCell ref="C296:J302"/>
    <mergeCell ref="B288:B289"/>
    <mergeCell ref="C288:E289"/>
    <mergeCell ref="F288:F289"/>
    <mergeCell ref="G306:G307"/>
    <mergeCell ref="H306:H307"/>
    <mergeCell ref="I306:I307"/>
    <mergeCell ref="J306:J307"/>
    <mergeCell ref="F352:F353"/>
    <mergeCell ref="F354:F355"/>
    <mergeCell ref="H352:H353"/>
    <mergeCell ref="H354:H355"/>
    <mergeCell ref="I352:I353"/>
    <mergeCell ref="I354:I355"/>
    <mergeCell ref="B308:B309"/>
    <mergeCell ref="C308:E309"/>
    <mergeCell ref="F308:F309"/>
    <mergeCell ref="G308:G309"/>
    <mergeCell ref="H308:H309"/>
    <mergeCell ref="I308:I309"/>
    <mergeCell ref="A304:C304"/>
    <mergeCell ref="C305:E305"/>
    <mergeCell ref="A306:A307"/>
    <mergeCell ref="B306:B307"/>
    <mergeCell ref="C306:E307"/>
    <mergeCell ref="F306:F307"/>
    <mergeCell ref="J310:J311"/>
    <mergeCell ref="B312:B313"/>
    <mergeCell ref="F312:F313"/>
    <mergeCell ref="G312:G313"/>
    <mergeCell ref="H312:H313"/>
    <mergeCell ref="J314:J315"/>
    <mergeCell ref="I312:I313"/>
    <mergeCell ref="J312:J313"/>
    <mergeCell ref="B310:B311"/>
    <mergeCell ref="C310:E311"/>
    <mergeCell ref="F310:F311"/>
    <mergeCell ref="G310:G311"/>
    <mergeCell ref="H310:H311"/>
    <mergeCell ref="I310:I311"/>
    <mergeCell ref="J308:J309"/>
    <mergeCell ref="F356:F357"/>
    <mergeCell ref="H356:H357"/>
    <mergeCell ref="I356:I357"/>
    <mergeCell ref="J352:J353"/>
    <mergeCell ref="J354:J355"/>
    <mergeCell ref="B320:B321"/>
    <mergeCell ref="C320:E321"/>
    <mergeCell ref="F320:F321"/>
    <mergeCell ref="G320:G321"/>
    <mergeCell ref="G318:G319"/>
    <mergeCell ref="H318:H319"/>
    <mergeCell ref="I318:I319"/>
    <mergeCell ref="J318:J319"/>
    <mergeCell ref="J320:J321"/>
    <mergeCell ref="A323:B323"/>
    <mergeCell ref="C323:J323"/>
    <mergeCell ref="J316:J317"/>
    <mergeCell ref="B314:B315"/>
    <mergeCell ref="B316:B317"/>
    <mergeCell ref="C316:E317"/>
    <mergeCell ref="J356:J357"/>
    <mergeCell ref="H320:H321"/>
    <mergeCell ref="I320:I321"/>
    <mergeCell ref="B318:B319"/>
    <mergeCell ref="C318:E319"/>
    <mergeCell ref="F318:F319"/>
    <mergeCell ref="F316:F317"/>
    <mergeCell ref="G316:G317"/>
    <mergeCell ref="H316:H317"/>
    <mergeCell ref="I316:I317"/>
    <mergeCell ref="F314:F315"/>
    <mergeCell ref="G314:G315"/>
    <mergeCell ref="H314:H315"/>
    <mergeCell ref="I314:I315"/>
    <mergeCell ref="G332:G333"/>
    <mergeCell ref="H332:H333"/>
    <mergeCell ref="I332:I333"/>
    <mergeCell ref="J332:J333"/>
    <mergeCell ref="B334:B335"/>
    <mergeCell ref="C334:E335"/>
    <mergeCell ref="F334:F335"/>
    <mergeCell ref="G334:G335"/>
    <mergeCell ref="H334:H335"/>
    <mergeCell ref="I334:I335"/>
    <mergeCell ref="A330:C330"/>
    <mergeCell ref="C331:E331"/>
    <mergeCell ref="A332:A333"/>
    <mergeCell ref="B332:B333"/>
    <mergeCell ref="C332:E333"/>
    <mergeCell ref="F332:F333"/>
    <mergeCell ref="A324:B324"/>
    <mergeCell ref="C324:J328"/>
    <mergeCell ref="A329:D329"/>
    <mergeCell ref="J340:J341"/>
    <mergeCell ref="B342:B343"/>
    <mergeCell ref="C342:E343"/>
    <mergeCell ref="F342:F343"/>
    <mergeCell ref="G342:G343"/>
    <mergeCell ref="H342:H343"/>
    <mergeCell ref="I342:I343"/>
    <mergeCell ref="J342:J343"/>
    <mergeCell ref="B340:B341"/>
    <mergeCell ref="C340:E341"/>
    <mergeCell ref="F340:F341"/>
    <mergeCell ref="G340:G341"/>
    <mergeCell ref="H340:H341"/>
    <mergeCell ref="I340:I341"/>
    <mergeCell ref="J334:J335"/>
    <mergeCell ref="B338:B339"/>
    <mergeCell ref="C338:E339"/>
    <mergeCell ref="F338:F339"/>
    <mergeCell ref="G338:G339"/>
    <mergeCell ref="H338:H339"/>
    <mergeCell ref="I338:I339"/>
    <mergeCell ref="J338:J339"/>
    <mergeCell ref="J348:J349"/>
    <mergeCell ref="B350:B351"/>
    <mergeCell ref="C350:E351"/>
    <mergeCell ref="F350:F351"/>
    <mergeCell ref="G350:G351"/>
    <mergeCell ref="H350:H351"/>
    <mergeCell ref="I350:I351"/>
    <mergeCell ref="J350:J351"/>
    <mergeCell ref="B348:B349"/>
    <mergeCell ref="C348:E349"/>
    <mergeCell ref="F348:F349"/>
    <mergeCell ref="G348:G349"/>
    <mergeCell ref="H348:H349"/>
    <mergeCell ref="I348:I349"/>
    <mergeCell ref="J344:J345"/>
    <mergeCell ref="B346:B347"/>
    <mergeCell ref="C346:E347"/>
    <mergeCell ref="F346:F347"/>
    <mergeCell ref="G346:G347"/>
    <mergeCell ref="H346:H347"/>
    <mergeCell ref="I346:I347"/>
    <mergeCell ref="J346:J347"/>
    <mergeCell ref="B344:B345"/>
    <mergeCell ref="C344:E345"/>
    <mergeCell ref="F344:F345"/>
    <mergeCell ref="G344:G345"/>
    <mergeCell ref="H344:H345"/>
    <mergeCell ref="I344:I345"/>
    <mergeCell ref="H370:H371"/>
    <mergeCell ref="I370:I371"/>
    <mergeCell ref="J370:J371"/>
    <mergeCell ref="B372:B373"/>
    <mergeCell ref="C372:E373"/>
    <mergeCell ref="F372:F373"/>
    <mergeCell ref="G372:G373"/>
    <mergeCell ref="H372:H373"/>
    <mergeCell ref="I372:I373"/>
    <mergeCell ref="J372:J373"/>
    <mergeCell ref="C369:E369"/>
    <mergeCell ref="A370:A371"/>
    <mergeCell ref="B370:B371"/>
    <mergeCell ref="C370:E371"/>
    <mergeCell ref="F370:F371"/>
    <mergeCell ref="G370:G371"/>
    <mergeCell ref="A361:B361"/>
    <mergeCell ref="C361:J361"/>
    <mergeCell ref="A362:B362"/>
    <mergeCell ref="C362:J366"/>
    <mergeCell ref="A367:D367"/>
    <mergeCell ref="A368:C368"/>
    <mergeCell ref="H387:H388"/>
    <mergeCell ref="I387:I388"/>
    <mergeCell ref="J387:J388"/>
    <mergeCell ref="B389:B390"/>
    <mergeCell ref="C389:E390"/>
    <mergeCell ref="F389:F390"/>
    <mergeCell ref="G389:G390"/>
    <mergeCell ref="H389:H390"/>
    <mergeCell ref="I389:I390"/>
    <mergeCell ref="J389:J390"/>
    <mergeCell ref="C386:E386"/>
    <mergeCell ref="A387:A388"/>
    <mergeCell ref="B387:B388"/>
    <mergeCell ref="C387:E388"/>
    <mergeCell ref="F387:F388"/>
    <mergeCell ref="G387:G388"/>
    <mergeCell ref="A375:B375"/>
    <mergeCell ref="C375:J375"/>
    <mergeCell ref="A376:B376"/>
    <mergeCell ref="C376:J383"/>
    <mergeCell ref="A384:D384"/>
    <mergeCell ref="A385:C385"/>
    <mergeCell ref="J399:J400"/>
    <mergeCell ref="B401:B402"/>
    <mergeCell ref="C401:E402"/>
    <mergeCell ref="F401:F402"/>
    <mergeCell ref="G401:G402"/>
    <mergeCell ref="H401:H402"/>
    <mergeCell ref="I401:I402"/>
    <mergeCell ref="J401:J402"/>
    <mergeCell ref="B399:B400"/>
    <mergeCell ref="C399:E400"/>
    <mergeCell ref="F399:F400"/>
    <mergeCell ref="G399:G400"/>
    <mergeCell ref="H399:H400"/>
    <mergeCell ref="I399:I400"/>
    <mergeCell ref="J391:J392"/>
    <mergeCell ref="B393:B394"/>
    <mergeCell ref="C393:E394"/>
    <mergeCell ref="F393:F394"/>
    <mergeCell ref="G393:G394"/>
    <mergeCell ref="H393:H394"/>
    <mergeCell ref="I393:I394"/>
    <mergeCell ref="J393:J394"/>
    <mergeCell ref="B391:B392"/>
    <mergeCell ref="C391:E392"/>
    <mergeCell ref="F391:F392"/>
    <mergeCell ref="G391:G392"/>
    <mergeCell ref="H391:H392"/>
    <mergeCell ref="I391:I392"/>
    <mergeCell ref="J397:J398"/>
    <mergeCell ref="H395:H396"/>
    <mergeCell ref="F395:F396"/>
    <mergeCell ref="G395:G396"/>
    <mergeCell ref="A413:C413"/>
    <mergeCell ref="C414:E414"/>
    <mergeCell ref="A415:A416"/>
    <mergeCell ref="B415:B416"/>
    <mergeCell ref="C415:E416"/>
    <mergeCell ref="F415:F416"/>
    <mergeCell ref="J403:J404"/>
    <mergeCell ref="A406:B406"/>
    <mergeCell ref="C406:J406"/>
    <mergeCell ref="A407:B407"/>
    <mergeCell ref="C407:J411"/>
    <mergeCell ref="A412:D412"/>
    <mergeCell ref="B403:B404"/>
    <mergeCell ref="C403:E404"/>
    <mergeCell ref="F403:F404"/>
    <mergeCell ref="G403:G404"/>
    <mergeCell ref="H403:H404"/>
    <mergeCell ref="I403:I404"/>
    <mergeCell ref="A427:C427"/>
    <mergeCell ref="C428:E428"/>
    <mergeCell ref="A429:A430"/>
    <mergeCell ref="B429:B430"/>
    <mergeCell ref="C429:E430"/>
    <mergeCell ref="F429:F430"/>
    <mergeCell ref="J417:J418"/>
    <mergeCell ref="A420:B420"/>
    <mergeCell ref="C420:J420"/>
    <mergeCell ref="A421:B421"/>
    <mergeCell ref="C421:J425"/>
    <mergeCell ref="A426:D426"/>
    <mergeCell ref="G415:G416"/>
    <mergeCell ref="H415:H416"/>
    <mergeCell ref="I415:I416"/>
    <mergeCell ref="J415:J416"/>
    <mergeCell ref="B417:B418"/>
    <mergeCell ref="C417:E418"/>
    <mergeCell ref="F417:F418"/>
    <mergeCell ref="G417:G418"/>
    <mergeCell ref="H417:H418"/>
    <mergeCell ref="I417:I418"/>
    <mergeCell ref="J431:J432"/>
    <mergeCell ref="B433:B434"/>
    <mergeCell ref="C433:E434"/>
    <mergeCell ref="F433:F434"/>
    <mergeCell ref="G433:G434"/>
    <mergeCell ref="H433:H434"/>
    <mergeCell ref="I433:I434"/>
    <mergeCell ref="J433:J434"/>
    <mergeCell ref="G429:G430"/>
    <mergeCell ref="H429:H430"/>
    <mergeCell ref="I429:I430"/>
    <mergeCell ref="J429:J430"/>
    <mergeCell ref="B431:B432"/>
    <mergeCell ref="C431:E432"/>
    <mergeCell ref="F431:F432"/>
    <mergeCell ref="G431:G432"/>
    <mergeCell ref="H431:H432"/>
    <mergeCell ref="I431:I432"/>
    <mergeCell ref="H445:H446"/>
    <mergeCell ref="I445:I446"/>
    <mergeCell ref="J445:J446"/>
    <mergeCell ref="B447:B448"/>
    <mergeCell ref="C447:E448"/>
    <mergeCell ref="F447:F448"/>
    <mergeCell ref="G447:G448"/>
    <mergeCell ref="H447:H448"/>
    <mergeCell ref="I447:I448"/>
    <mergeCell ref="J447:J448"/>
    <mergeCell ref="C444:E444"/>
    <mergeCell ref="A445:A446"/>
    <mergeCell ref="B445:B446"/>
    <mergeCell ref="C445:E446"/>
    <mergeCell ref="F445:F446"/>
    <mergeCell ref="G445:G446"/>
    <mergeCell ref="A436:B436"/>
    <mergeCell ref="C436:J436"/>
    <mergeCell ref="A437:B437"/>
    <mergeCell ref="C437:J441"/>
    <mergeCell ref="A442:D442"/>
    <mergeCell ref="A443:C443"/>
    <mergeCell ref="J457:J458"/>
    <mergeCell ref="J459:J460"/>
    <mergeCell ref="J461:J462"/>
    <mergeCell ref="B459:B460"/>
    <mergeCell ref="C459:E460"/>
    <mergeCell ref="F459:F460"/>
    <mergeCell ref="G459:G460"/>
    <mergeCell ref="H459:H460"/>
    <mergeCell ref="I459:I460"/>
    <mergeCell ref="C456:E456"/>
    <mergeCell ref="A457:A458"/>
    <mergeCell ref="B457:B458"/>
    <mergeCell ref="C457:E458"/>
    <mergeCell ref="F457:F458"/>
    <mergeCell ref="G457:G458"/>
    <mergeCell ref="J449:J450"/>
    <mergeCell ref="A451:J451"/>
    <mergeCell ref="A453:B453"/>
    <mergeCell ref="C453:J453"/>
    <mergeCell ref="A454:D454"/>
    <mergeCell ref="A455:C455"/>
    <mergeCell ref="B449:B450"/>
    <mergeCell ref="C449:E450"/>
    <mergeCell ref="F449:F450"/>
    <mergeCell ref="G449:G450"/>
    <mergeCell ref="H449:H450"/>
    <mergeCell ref="I449:I450"/>
    <mergeCell ref="B466:B467"/>
    <mergeCell ref="C466:E467"/>
    <mergeCell ref="F466:F467"/>
    <mergeCell ref="G466:G467"/>
    <mergeCell ref="H466:H467"/>
    <mergeCell ref="B464:B465"/>
    <mergeCell ref="C464:E465"/>
    <mergeCell ref="F464:F465"/>
    <mergeCell ref="G464:G465"/>
    <mergeCell ref="H464:H465"/>
    <mergeCell ref="I464:I465"/>
    <mergeCell ref="F461:F462"/>
    <mergeCell ref="G461:G462"/>
    <mergeCell ref="H461:H462"/>
    <mergeCell ref="I461:I462"/>
    <mergeCell ref="I457:I458"/>
    <mergeCell ref="H457:H458"/>
    <mergeCell ref="C250:E251"/>
    <mergeCell ref="F250:F251"/>
    <mergeCell ref="G250:G251"/>
    <mergeCell ref="H250:H251"/>
    <mergeCell ref="I250:I251"/>
    <mergeCell ref="J250:J251"/>
    <mergeCell ref="I160:I161"/>
    <mergeCell ref="B160:B161"/>
    <mergeCell ref="C160:E161"/>
    <mergeCell ref="B61:B62"/>
    <mergeCell ref="C61:E62"/>
    <mergeCell ref="F61:F62"/>
    <mergeCell ref="G61:G62"/>
    <mergeCell ref="F156:F157"/>
    <mergeCell ref="G156:G157"/>
    <mergeCell ref="H156:H157"/>
    <mergeCell ref="B468:B469"/>
    <mergeCell ref="C468:E469"/>
    <mergeCell ref="F468:F469"/>
    <mergeCell ref="G468:G469"/>
    <mergeCell ref="H468:H469"/>
    <mergeCell ref="J160:J161"/>
    <mergeCell ref="I466:I467"/>
    <mergeCell ref="F160:F161"/>
    <mergeCell ref="G160:G161"/>
    <mergeCell ref="H160:H161"/>
    <mergeCell ref="J466:J467"/>
    <mergeCell ref="J464:J465"/>
    <mergeCell ref="B461:B462"/>
    <mergeCell ref="C461:E462"/>
    <mergeCell ref="I468:I469"/>
    <mergeCell ref="J468:J469"/>
  </mergeCells>
  <pageMargins left="0.25" right="0.25" top="0.75" bottom="0.75"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70E8-5A5B-4BC3-9D65-5BAC4680B417}">
  <dimension ref="A1:H28"/>
  <sheetViews>
    <sheetView zoomScaleSheetLayoutView="100" workbookViewId="0">
      <selection activeCell="B24" sqref="B24"/>
    </sheetView>
  </sheetViews>
  <sheetFormatPr defaultRowHeight="12.75" x14ac:dyDescent="0.2"/>
  <cols>
    <col min="1" max="1" width="10.28515625" style="1" customWidth="1"/>
    <col min="2" max="2" width="44.140625" style="1" customWidth="1"/>
    <col min="3" max="3" width="11.28515625" style="1" customWidth="1"/>
    <col min="4" max="6" width="11.140625" style="1" bestFit="1" customWidth="1"/>
    <col min="7" max="7" width="11.140625" style="1" customWidth="1"/>
    <col min="8" max="8" width="14.28515625" style="1" customWidth="1"/>
    <col min="9" max="16384" width="9.140625" style="1"/>
  </cols>
  <sheetData>
    <row r="1" spans="1:8" x14ac:dyDescent="0.2">
      <c r="A1" s="267" t="s">
        <v>0</v>
      </c>
      <c r="B1" s="267"/>
      <c r="C1" s="267"/>
      <c r="D1" s="267"/>
      <c r="E1" s="267"/>
      <c r="F1" s="267"/>
      <c r="G1" s="267"/>
    </row>
    <row r="2" spans="1:8" ht="12.75" customHeight="1" x14ac:dyDescent="0.2">
      <c r="A2" s="268" t="s">
        <v>270</v>
      </c>
      <c r="B2" s="268"/>
      <c r="C2" s="268"/>
      <c r="D2" s="268"/>
      <c r="E2" s="268"/>
      <c r="F2" s="268"/>
      <c r="G2" s="268"/>
    </row>
    <row r="3" spans="1:8" x14ac:dyDescent="0.2">
      <c r="A3" s="268" t="s">
        <v>41</v>
      </c>
      <c r="B3" s="268"/>
      <c r="C3" s="268"/>
      <c r="D3" s="268"/>
      <c r="E3" s="268"/>
      <c r="F3" s="268"/>
      <c r="G3" s="268"/>
    </row>
    <row r="4" spans="1:8" ht="25.5" x14ac:dyDescent="0.2">
      <c r="A4" s="83" t="s">
        <v>42</v>
      </c>
      <c r="B4" s="4" t="s">
        <v>43</v>
      </c>
      <c r="C4" s="4">
        <v>2026</v>
      </c>
      <c r="D4" s="4">
        <v>2027</v>
      </c>
      <c r="E4" s="4">
        <v>2028</v>
      </c>
      <c r="F4" s="4">
        <v>2029</v>
      </c>
      <c r="G4" s="84" t="s">
        <v>6</v>
      </c>
    </row>
    <row r="5" spans="1:8" x14ac:dyDescent="0.2">
      <c r="A5" s="85">
        <v>1</v>
      </c>
      <c r="B5" s="66" t="s">
        <v>3</v>
      </c>
      <c r="C5" s="86">
        <f>'Anexo I - Programas'!F11</f>
        <v>1100000</v>
      </c>
      <c r="D5" s="86">
        <f>'Anexo I - Programas'!G11</f>
        <v>800000</v>
      </c>
      <c r="E5" s="86">
        <f>'Anexo I - Programas'!H11</f>
        <v>850000</v>
      </c>
      <c r="F5" s="86">
        <f>'Anexo I - Programas'!I11</f>
        <v>900000</v>
      </c>
      <c r="G5" s="87">
        <f t="shared" ref="G5:G25" si="0">C5+D5+E5+F5</f>
        <v>3650000</v>
      </c>
    </row>
    <row r="6" spans="1:8" x14ac:dyDescent="0.2">
      <c r="A6" s="85">
        <v>2</v>
      </c>
      <c r="B6" s="66" t="s">
        <v>44</v>
      </c>
      <c r="C6" s="86">
        <f>'Anexo I - Programas'!F27</f>
        <v>1182000</v>
      </c>
      <c r="D6" s="86">
        <f>'Anexo I - Programas'!G27</f>
        <v>1102000</v>
      </c>
      <c r="E6" s="86">
        <f>'Anexo I - Programas'!H27</f>
        <v>1122000</v>
      </c>
      <c r="F6" s="86">
        <f>'Anexo I - Programas'!I27</f>
        <v>1092000</v>
      </c>
      <c r="G6" s="87">
        <f t="shared" si="0"/>
        <v>4498000</v>
      </c>
    </row>
    <row r="7" spans="1:8" x14ac:dyDescent="0.2">
      <c r="A7" s="85">
        <v>4</v>
      </c>
      <c r="B7" s="66" t="s">
        <v>45</v>
      </c>
      <c r="C7" s="86">
        <f>'Anexo I - Programas'!F45</f>
        <v>15195000</v>
      </c>
      <c r="D7" s="86">
        <f>'Anexo I - Programas'!G45</f>
        <v>15670000</v>
      </c>
      <c r="E7" s="86">
        <f>'Anexo I - Programas'!H45</f>
        <v>16145000</v>
      </c>
      <c r="F7" s="86">
        <f>'Anexo I - Programas'!I45</f>
        <v>16620000</v>
      </c>
      <c r="G7" s="87">
        <f>C7+D7+E7+F7</f>
        <v>63630000</v>
      </c>
      <c r="H7" s="40">
        <v>-100000</v>
      </c>
    </row>
    <row r="8" spans="1:8" x14ac:dyDescent="0.2">
      <c r="A8" s="85">
        <v>5</v>
      </c>
      <c r="B8" s="66" t="s">
        <v>46</v>
      </c>
      <c r="C8" s="86">
        <f>'Anexo I - Programas'!F71</f>
        <v>1422500</v>
      </c>
      <c r="D8" s="86">
        <f>'Anexo I - Programas'!G71</f>
        <v>917500</v>
      </c>
      <c r="E8" s="86">
        <f>'Anexo I - Programas'!H71</f>
        <v>797500</v>
      </c>
      <c r="F8" s="86">
        <f>'Anexo I - Programas'!I71</f>
        <v>817500</v>
      </c>
      <c r="G8" s="87">
        <f t="shared" si="0"/>
        <v>3955000</v>
      </c>
      <c r="H8" s="40">
        <v>100000</v>
      </c>
    </row>
    <row r="9" spans="1:8" x14ac:dyDescent="0.2">
      <c r="A9" s="85">
        <v>6</v>
      </c>
      <c r="B9" s="66" t="s">
        <v>47</v>
      </c>
      <c r="C9" s="86">
        <f>'Anexo I - Programas'!F101</f>
        <v>1150000</v>
      </c>
      <c r="D9" s="86">
        <f>'Anexo I - Programas'!G101</f>
        <v>1200000</v>
      </c>
      <c r="E9" s="86">
        <f>'Anexo I - Programas'!H101</f>
        <v>1250000</v>
      </c>
      <c r="F9" s="86">
        <f>'Anexo I - Programas'!I101</f>
        <v>1300000</v>
      </c>
      <c r="G9" s="87">
        <f t="shared" si="0"/>
        <v>4900000</v>
      </c>
    </row>
    <row r="10" spans="1:8" x14ac:dyDescent="0.2">
      <c r="A10" s="85">
        <v>7</v>
      </c>
      <c r="B10" s="66" t="s">
        <v>48</v>
      </c>
      <c r="C10" s="86">
        <f>'Anexo I - Programas'!F116</f>
        <v>2760000</v>
      </c>
      <c r="D10" s="86">
        <f>'Anexo I - Programas'!G116</f>
        <v>2810000</v>
      </c>
      <c r="E10" s="86">
        <f>'Anexo I - Programas'!H116</f>
        <v>2860000</v>
      </c>
      <c r="F10" s="86">
        <f>'Anexo I - Programas'!I116</f>
        <v>2910000</v>
      </c>
      <c r="G10" s="87">
        <f t="shared" si="0"/>
        <v>11340000</v>
      </c>
    </row>
    <row r="11" spans="1:8" x14ac:dyDescent="0.2">
      <c r="A11" s="85">
        <v>8</v>
      </c>
      <c r="B11" s="66" t="s">
        <v>49</v>
      </c>
      <c r="C11" s="86">
        <f>'Anexo I - Programas'!F208</f>
        <v>3980000</v>
      </c>
      <c r="D11" s="86">
        <f>'Anexo I - Programas'!G208</f>
        <v>4050000</v>
      </c>
      <c r="E11" s="86">
        <f>'Anexo I - Programas'!H208</f>
        <v>4180000</v>
      </c>
      <c r="F11" s="86">
        <f>'Anexo I - Programas'!I208</f>
        <v>4360000</v>
      </c>
      <c r="G11" s="87">
        <f t="shared" si="0"/>
        <v>16570000</v>
      </c>
    </row>
    <row r="12" spans="1:8" x14ac:dyDescent="0.2">
      <c r="A12" s="85">
        <v>9</v>
      </c>
      <c r="B12" s="66" t="s">
        <v>50</v>
      </c>
      <c r="C12" s="86">
        <f>'Anexo I - Programas'!F134</f>
        <v>45140000</v>
      </c>
      <c r="D12" s="86">
        <f>'Anexo I - Programas'!G134</f>
        <v>46910000</v>
      </c>
      <c r="E12" s="86">
        <f>'Anexo I - Programas'!H134</f>
        <v>49380000</v>
      </c>
      <c r="F12" s="86">
        <f>'Anexo I - Programas'!I134</f>
        <v>50970000</v>
      </c>
      <c r="G12" s="87">
        <f t="shared" si="0"/>
        <v>192400000</v>
      </c>
      <c r="H12" s="19"/>
    </row>
    <row r="13" spans="1:8" x14ac:dyDescent="0.2">
      <c r="A13" s="85">
        <v>10</v>
      </c>
      <c r="B13" s="66" t="s">
        <v>51</v>
      </c>
      <c r="C13" s="86">
        <f>'Anexo I - Programas'!F174</f>
        <v>1020000</v>
      </c>
      <c r="D13" s="86">
        <f>'Anexo I - Programas'!G174</f>
        <v>1040000</v>
      </c>
      <c r="E13" s="86">
        <f>'Anexo I - Programas'!H174</f>
        <v>1060000</v>
      </c>
      <c r="F13" s="86">
        <f>'Anexo I - Programas'!I174</f>
        <v>1080000</v>
      </c>
      <c r="G13" s="87">
        <f t="shared" si="0"/>
        <v>4200000</v>
      </c>
    </row>
    <row r="14" spans="1:8" x14ac:dyDescent="0.2">
      <c r="A14" s="85">
        <v>11</v>
      </c>
      <c r="B14" s="66" t="s">
        <v>52</v>
      </c>
      <c r="C14" s="86">
        <f>'Anexo I - Programas'!F190</f>
        <v>2670000</v>
      </c>
      <c r="D14" s="86">
        <f>'Anexo I - Programas'!G190</f>
        <v>2740000</v>
      </c>
      <c r="E14" s="86">
        <f>'Anexo I - Programas'!H190</f>
        <v>2810000</v>
      </c>
      <c r="F14" s="86">
        <f>'Anexo I - Programas'!I190</f>
        <v>2880000</v>
      </c>
      <c r="G14" s="87">
        <f t="shared" si="0"/>
        <v>11100000</v>
      </c>
    </row>
    <row r="15" spans="1:8" x14ac:dyDescent="0.2">
      <c r="A15" s="85">
        <v>12</v>
      </c>
      <c r="B15" s="66" t="s">
        <v>53</v>
      </c>
      <c r="C15" s="86">
        <f>'Anexo I - Programas'!F226</f>
        <v>1477000</v>
      </c>
      <c r="D15" s="86">
        <f>'Anexo I - Programas'!G226</f>
        <v>1487000</v>
      </c>
      <c r="E15" s="86">
        <f>'Anexo I - Programas'!H226</f>
        <v>1497000</v>
      </c>
      <c r="F15" s="86">
        <f>'Anexo I - Programas'!I226</f>
        <v>1507000</v>
      </c>
      <c r="G15" s="87">
        <f t="shared" si="0"/>
        <v>5968000</v>
      </c>
    </row>
    <row r="16" spans="1:8" x14ac:dyDescent="0.2">
      <c r="A16" s="85">
        <v>13</v>
      </c>
      <c r="B16" s="66" t="s">
        <v>54</v>
      </c>
      <c r="C16" s="86">
        <f>'Anexo I - Programas'!F242</f>
        <v>3800000</v>
      </c>
      <c r="D16" s="86">
        <f>'Anexo I - Programas'!G242</f>
        <v>4010000</v>
      </c>
      <c r="E16" s="86">
        <f>'Anexo I - Programas'!H242</f>
        <v>4120000</v>
      </c>
      <c r="F16" s="86">
        <f>'Anexo I - Programas'!I242</f>
        <v>4230000</v>
      </c>
      <c r="G16" s="87">
        <f>C16+D16+E16+F16</f>
        <v>16160000</v>
      </c>
    </row>
    <row r="17" spans="1:8" x14ac:dyDescent="0.2">
      <c r="A17" s="85">
        <v>14</v>
      </c>
      <c r="B17" s="66" t="s">
        <v>55</v>
      </c>
      <c r="C17" s="86">
        <f>'Anexo I - Programas'!F262</f>
        <v>8750000</v>
      </c>
      <c r="D17" s="86">
        <f>'Anexo I - Programas'!G262</f>
        <v>7800000</v>
      </c>
      <c r="E17" s="86">
        <f>'Anexo I - Programas'!H262</f>
        <v>7850000</v>
      </c>
      <c r="F17" s="86">
        <f>'Anexo I - Programas'!I262</f>
        <v>3900000</v>
      </c>
      <c r="G17" s="87">
        <f t="shared" si="0"/>
        <v>28300000</v>
      </c>
    </row>
    <row r="18" spans="1:8" x14ac:dyDescent="0.2">
      <c r="A18" s="85">
        <v>15</v>
      </c>
      <c r="B18" s="66" t="s">
        <v>56</v>
      </c>
      <c r="C18" s="86">
        <f>'Anexo I - Programas'!F280</f>
        <v>2900000</v>
      </c>
      <c r="D18" s="86">
        <f>'Anexo I - Programas'!G280</f>
        <v>3150000</v>
      </c>
      <c r="E18" s="86">
        <f>'Anexo I - Programas'!H280</f>
        <v>3400000</v>
      </c>
      <c r="F18" s="86">
        <f>'Anexo I - Programas'!I280</f>
        <v>3650000</v>
      </c>
      <c r="G18" s="87">
        <f t="shared" si="0"/>
        <v>13100000</v>
      </c>
    </row>
    <row r="19" spans="1:8" x14ac:dyDescent="0.2">
      <c r="A19" s="85">
        <v>16</v>
      </c>
      <c r="B19" s="67" t="s">
        <v>57</v>
      </c>
      <c r="C19" s="86">
        <f>'Anexo I - Programas'!F304</f>
        <v>4514000</v>
      </c>
      <c r="D19" s="86">
        <f>'Anexo I - Programas'!G304</f>
        <v>4644000</v>
      </c>
      <c r="E19" s="86">
        <f>'Anexo I - Programas'!H304</f>
        <v>4854000</v>
      </c>
      <c r="F19" s="86">
        <f>'Anexo I - Programas'!I304</f>
        <v>5094000</v>
      </c>
      <c r="G19" s="87">
        <f t="shared" si="0"/>
        <v>19106000</v>
      </c>
    </row>
    <row r="20" spans="1:8" x14ac:dyDescent="0.2">
      <c r="A20" s="85">
        <v>17</v>
      </c>
      <c r="B20" s="66" t="s">
        <v>58</v>
      </c>
      <c r="C20" s="86">
        <f>'Anexo I - Programas'!F330</f>
        <v>26713000</v>
      </c>
      <c r="D20" s="86">
        <f>'Anexo I - Programas'!G330</f>
        <v>28386000</v>
      </c>
      <c r="E20" s="86">
        <f>'Anexo I - Programas'!H330</f>
        <v>30059000</v>
      </c>
      <c r="F20" s="86">
        <f>'Anexo I - Programas'!I330</f>
        <v>31182000</v>
      </c>
      <c r="G20" s="87">
        <f t="shared" si="0"/>
        <v>116340000</v>
      </c>
    </row>
    <row r="21" spans="1:8" x14ac:dyDescent="0.2">
      <c r="A21" s="85">
        <v>18</v>
      </c>
      <c r="B21" s="66" t="s">
        <v>59</v>
      </c>
      <c r="C21" s="86">
        <f>'Anexo I - Programas'!F385</f>
        <v>1929000</v>
      </c>
      <c r="D21" s="86">
        <f>'Anexo I - Programas'!G385</f>
        <v>1861000</v>
      </c>
      <c r="E21" s="86">
        <f>'Anexo I - Programas'!H385</f>
        <v>1797000</v>
      </c>
      <c r="F21" s="86">
        <f>'Anexo I - Programas'!I385</f>
        <v>1789000</v>
      </c>
      <c r="G21" s="87">
        <f t="shared" si="0"/>
        <v>7376000</v>
      </c>
    </row>
    <row r="22" spans="1:8" x14ac:dyDescent="0.2">
      <c r="A22" s="85">
        <v>19</v>
      </c>
      <c r="B22" s="86" t="s">
        <v>32</v>
      </c>
      <c r="C22" s="86">
        <f>'Anexo I - Programas'!F368</f>
        <v>5000</v>
      </c>
      <c r="D22" s="86">
        <f>'Anexo I - Programas'!G368</f>
        <v>5000</v>
      </c>
      <c r="E22" s="86">
        <f>'Anexo I - Programas'!H368</f>
        <v>5000</v>
      </c>
      <c r="F22" s="86">
        <f>'Anexo I - Programas'!I368</f>
        <v>5000</v>
      </c>
      <c r="G22" s="87">
        <f t="shared" si="0"/>
        <v>20000</v>
      </c>
    </row>
    <row r="23" spans="1:8" x14ac:dyDescent="0.2">
      <c r="A23" s="85">
        <v>20</v>
      </c>
      <c r="B23" s="66" t="s">
        <v>60</v>
      </c>
      <c r="C23" s="86">
        <f>'Anexo I - Programas'!F413</f>
        <v>4900000</v>
      </c>
      <c r="D23" s="86">
        <f>'Anexo I - Programas'!G413</f>
        <v>5530000</v>
      </c>
      <c r="E23" s="86">
        <f>'Anexo I - Programas'!H413</f>
        <v>5590000</v>
      </c>
      <c r="F23" s="86">
        <f>'Anexo I - Programas'!I413</f>
        <v>5790000</v>
      </c>
      <c r="G23" s="87">
        <f>C23+D23+E23+F23</f>
        <v>21810000</v>
      </c>
    </row>
    <row r="24" spans="1:8" ht="13.5" customHeight="1" x14ac:dyDescent="0.2">
      <c r="A24" s="85">
        <v>21</v>
      </c>
      <c r="B24" s="66" t="s">
        <v>61</v>
      </c>
      <c r="C24" s="86">
        <f>'Anexo I - Programas'!F427</f>
        <v>9300000</v>
      </c>
      <c r="D24" s="86">
        <f>'Anexo I - Programas'!G427</f>
        <v>9070000</v>
      </c>
      <c r="E24" s="86">
        <f>'Anexo I - Programas'!H427</f>
        <v>9110000</v>
      </c>
      <c r="F24" s="86">
        <f>'Anexo I - Programas'!I427</f>
        <v>9210000</v>
      </c>
      <c r="G24" s="87">
        <f t="shared" si="0"/>
        <v>36690000</v>
      </c>
      <c r="H24" s="19"/>
    </row>
    <row r="25" spans="1:8" x14ac:dyDescent="0.2">
      <c r="A25" s="85">
        <v>22</v>
      </c>
      <c r="B25" s="66" t="s">
        <v>62</v>
      </c>
      <c r="C25" s="86">
        <f>'Anexo I - Programas'!F443</f>
        <v>8900000</v>
      </c>
      <c r="D25" s="86">
        <f>'Anexo I - Programas'!G443</f>
        <v>9420000</v>
      </c>
      <c r="E25" s="86">
        <f>'Anexo I - Programas'!H443</f>
        <v>9960000</v>
      </c>
      <c r="F25" s="86">
        <f>'Anexo I - Programas'!I443</f>
        <v>10500000</v>
      </c>
      <c r="G25" s="87">
        <f t="shared" si="0"/>
        <v>38780000</v>
      </c>
    </row>
    <row r="26" spans="1:8" x14ac:dyDescent="0.2">
      <c r="A26" s="85"/>
      <c r="B26" s="65"/>
      <c r="C26" s="65"/>
      <c r="D26" s="65"/>
      <c r="E26" s="65"/>
      <c r="F26" s="65"/>
      <c r="G26" s="133"/>
    </row>
    <row r="27" spans="1:8" ht="13.5" customHeight="1" thickBot="1" x14ac:dyDescent="0.25">
      <c r="A27" s="269" t="s">
        <v>63</v>
      </c>
      <c r="B27" s="269"/>
      <c r="C27" s="134">
        <f>SUM(C5:C26)</f>
        <v>148807500</v>
      </c>
      <c r="D27" s="134">
        <f>SUM(D5:D26)</f>
        <v>152602500</v>
      </c>
      <c r="E27" s="134">
        <f>SUM(E5:E26)</f>
        <v>158696500</v>
      </c>
      <c r="F27" s="134">
        <f>SUM(F5:F26)</f>
        <v>159786500</v>
      </c>
      <c r="G27" s="135">
        <f>C27+D27+E27+F27</f>
        <v>619893000</v>
      </c>
      <c r="H27" s="19"/>
    </row>
    <row r="28" spans="1:8" x14ac:dyDescent="0.2">
      <c r="G28" s="19"/>
    </row>
  </sheetData>
  <sheetProtection selectLockedCells="1" selectUnlockedCells="1"/>
  <mergeCells count="4">
    <mergeCell ref="A1:G1"/>
    <mergeCell ref="A2:G2"/>
    <mergeCell ref="A3:G3"/>
    <mergeCell ref="A27:B27"/>
  </mergeCells>
  <pageMargins left="0.59027777777777779" right="0.39374999999999999" top="0.59027777777777779" bottom="0.59027777777777779" header="0.51180555555555551" footer="0.51180555555555551"/>
  <pageSetup paperSize="9" scale="7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E877-E4D7-4687-BD77-8FE0A8929699}">
  <dimension ref="A1:F95"/>
  <sheetViews>
    <sheetView tabSelected="1" topLeftCell="A67" workbookViewId="0">
      <selection activeCell="I87" sqref="I87"/>
    </sheetView>
  </sheetViews>
  <sheetFormatPr defaultRowHeight="12.75" x14ac:dyDescent="0.2"/>
  <cols>
    <col min="1" max="1" width="35.28515625" style="1" customWidth="1"/>
    <col min="2" max="2" width="54.140625" style="1" customWidth="1"/>
    <col min="3" max="3" width="17" style="1" customWidth="1"/>
    <col min="4" max="4" width="30.85546875" style="1" customWidth="1"/>
    <col min="5" max="5" width="10.85546875" style="1" customWidth="1"/>
    <col min="6" max="6" width="14" style="1" bestFit="1" customWidth="1"/>
    <col min="7" max="16384" width="9.140625" style="1"/>
  </cols>
  <sheetData>
    <row r="1" spans="1:6" x14ac:dyDescent="0.2">
      <c r="A1" s="270" t="s">
        <v>0</v>
      </c>
      <c r="B1" s="270"/>
      <c r="C1" s="270"/>
      <c r="D1" s="270"/>
      <c r="E1" s="270"/>
    </row>
    <row r="2" spans="1:6" ht="12.75" customHeight="1" x14ac:dyDescent="0.2">
      <c r="A2" s="271" t="s">
        <v>270</v>
      </c>
      <c r="B2" s="271"/>
      <c r="C2" s="271"/>
      <c r="D2" s="271"/>
      <c r="E2" s="271"/>
    </row>
    <row r="3" spans="1:6" x14ac:dyDescent="0.2">
      <c r="A3" s="272" t="s">
        <v>64</v>
      </c>
      <c r="B3" s="272"/>
      <c r="C3" s="272"/>
      <c r="D3" s="272"/>
      <c r="E3" s="272"/>
    </row>
    <row r="4" spans="1:6" x14ac:dyDescent="0.2">
      <c r="A4" s="88" t="s">
        <v>65</v>
      </c>
      <c r="B4" s="88" t="s">
        <v>267</v>
      </c>
      <c r="C4" s="88" t="s">
        <v>66</v>
      </c>
      <c r="D4" s="88" t="s">
        <v>67</v>
      </c>
      <c r="E4" s="89" t="s">
        <v>68</v>
      </c>
    </row>
    <row r="5" spans="1:6" ht="13.5" thickBot="1" x14ac:dyDescent="0.25">
      <c r="A5" s="90" t="str">
        <f>'[1]Anexo II - Resumo dos Programas'!B5</f>
        <v>Ação Legislativa</v>
      </c>
      <c r="B5" s="91" t="s">
        <v>69</v>
      </c>
      <c r="C5" s="92" t="s">
        <v>70</v>
      </c>
      <c r="D5" s="92" t="s">
        <v>3</v>
      </c>
      <c r="E5" s="93">
        <v>3610000</v>
      </c>
    </row>
    <row r="6" spans="1:6" ht="13.5" thickBot="1" x14ac:dyDescent="0.25">
      <c r="A6" s="174" t="s">
        <v>3</v>
      </c>
      <c r="B6" s="173" t="s">
        <v>335</v>
      </c>
      <c r="C6" s="92" t="s">
        <v>70</v>
      </c>
      <c r="D6" s="92" t="s">
        <v>3</v>
      </c>
      <c r="E6" s="93">
        <v>40000</v>
      </c>
    </row>
    <row r="7" spans="1:6" ht="13.5" thickBot="1" x14ac:dyDescent="0.25">
      <c r="A7" s="90" t="str">
        <f>'[1]Anexo II - Resumo dos Programas'!B6</f>
        <v>Ivoti Segura</v>
      </c>
      <c r="B7" s="94" t="s">
        <v>71</v>
      </c>
      <c r="C7" s="95" t="s">
        <v>72</v>
      </c>
      <c r="D7" s="95" t="s">
        <v>73</v>
      </c>
      <c r="E7" s="93">
        <v>3400000</v>
      </c>
    </row>
    <row r="8" spans="1:6" ht="13.5" thickBot="1" x14ac:dyDescent="0.25">
      <c r="A8" s="90" t="str">
        <f>A7</f>
        <v>Ivoti Segura</v>
      </c>
      <c r="B8" s="95" t="s">
        <v>311</v>
      </c>
      <c r="C8" s="95" t="str">
        <f>C7</f>
        <v xml:space="preserve">Seguranca Publica  </v>
      </c>
      <c r="D8" s="95" t="s">
        <v>74</v>
      </c>
      <c r="E8" s="93">
        <v>1050000</v>
      </c>
    </row>
    <row r="9" spans="1:6" ht="13.5" thickBot="1" x14ac:dyDescent="0.25">
      <c r="A9" s="90" t="str">
        <f>A8</f>
        <v>Ivoti Segura</v>
      </c>
      <c r="B9" s="95" t="s">
        <v>75</v>
      </c>
      <c r="C9" s="95" t="str">
        <f>C8</f>
        <v xml:space="preserve">Seguranca Publica  </v>
      </c>
      <c r="D9" s="95" t="s">
        <v>74</v>
      </c>
      <c r="E9" s="93">
        <v>48000</v>
      </c>
      <c r="F9" s="19"/>
    </row>
    <row r="10" spans="1:6" ht="13.5" thickBot="1" x14ac:dyDescent="0.25">
      <c r="A10" s="74" t="str">
        <f>'[1]Anexo II - Resumo dos Programas'!$B$7</f>
        <v>Supervisão e Coordenação Administrativa</v>
      </c>
      <c r="B10" s="95" t="s">
        <v>76</v>
      </c>
      <c r="C10" s="95" t="s">
        <v>77</v>
      </c>
      <c r="D10" s="95" t="s">
        <v>78</v>
      </c>
      <c r="E10" s="93">
        <v>5140000</v>
      </c>
      <c r="F10" s="40"/>
    </row>
    <row r="11" spans="1:6" x14ac:dyDescent="0.2">
      <c r="A11" s="74" t="str">
        <f>'[1]Anexo II - Resumo dos Programas'!$B$7</f>
        <v>Supervisão e Coordenação Administrativa</v>
      </c>
      <c r="B11" s="95" t="s">
        <v>79</v>
      </c>
      <c r="C11" s="95" t="s">
        <v>77</v>
      </c>
      <c r="D11" s="95" t="s">
        <v>78</v>
      </c>
      <c r="E11" s="93">
        <v>15500000</v>
      </c>
    </row>
    <row r="12" spans="1:6" x14ac:dyDescent="0.2">
      <c r="A12" s="74" t="str">
        <f>'[1]Anexo II - Resumo dos Programas'!$B$7</f>
        <v>Supervisão e Coordenação Administrativa</v>
      </c>
      <c r="B12" s="95" t="s">
        <v>80</v>
      </c>
      <c r="C12" s="95" t="s">
        <v>77</v>
      </c>
      <c r="D12" s="95" t="s">
        <v>78</v>
      </c>
      <c r="E12" s="93">
        <v>4150000</v>
      </c>
    </row>
    <row r="13" spans="1:6" x14ac:dyDescent="0.2">
      <c r="A13" s="74" t="str">
        <f>'[1]Anexo II - Resumo dos Programas'!$B$7</f>
        <v>Supervisão e Coordenação Administrativa</v>
      </c>
      <c r="B13" s="95" t="s">
        <v>81</v>
      </c>
      <c r="C13" s="95" t="s">
        <v>82</v>
      </c>
      <c r="D13" s="95" t="s">
        <v>83</v>
      </c>
      <c r="E13" s="93">
        <v>29900000</v>
      </c>
    </row>
    <row r="14" spans="1:6" x14ac:dyDescent="0.2">
      <c r="A14" s="74" t="str">
        <f>'[1]Anexo II - Resumo dos Programas'!$B$7</f>
        <v>Supervisão e Coordenação Administrativa</v>
      </c>
      <c r="B14" s="95" t="s">
        <v>84</v>
      </c>
      <c r="C14" s="95" t="s">
        <v>85</v>
      </c>
      <c r="D14" s="95" t="s">
        <v>86</v>
      </c>
      <c r="E14" s="93">
        <v>6400000</v>
      </c>
    </row>
    <row r="15" spans="1:6" x14ac:dyDescent="0.2">
      <c r="A15" s="74" t="str">
        <f>'[1]Anexo II - Resumo dos Programas'!$B$7</f>
        <v>Supervisão e Coordenação Administrativa</v>
      </c>
      <c r="B15" s="95" t="s">
        <v>87</v>
      </c>
      <c r="C15" s="95" t="s">
        <v>85</v>
      </c>
      <c r="D15" s="95" t="s">
        <v>88</v>
      </c>
      <c r="E15" s="93">
        <v>1300000</v>
      </c>
    </row>
    <row r="16" spans="1:6" x14ac:dyDescent="0.2">
      <c r="A16" s="74" t="str">
        <f>'[1]Anexo II - Resumo dos Programas'!$B$7</f>
        <v>Supervisão e Coordenação Administrativa</v>
      </c>
      <c r="B16" s="95" t="s">
        <v>266</v>
      </c>
      <c r="C16" s="95" t="s">
        <v>85</v>
      </c>
      <c r="D16" s="95" t="s">
        <v>265</v>
      </c>
      <c r="E16" s="93">
        <v>1240000</v>
      </c>
      <c r="F16" s="19"/>
    </row>
    <row r="17" spans="1:6" ht="13.5" thickBot="1" x14ac:dyDescent="0.25">
      <c r="A17" s="90" t="str">
        <f>'[1]Anexo II - Resumo dos Programas'!$B$8</f>
        <v>Gestão Pública Eficiente</v>
      </c>
      <c r="B17" s="95" t="s">
        <v>89</v>
      </c>
      <c r="C17" s="95" t="s">
        <v>85</v>
      </c>
      <c r="D17" s="95" t="s">
        <v>78</v>
      </c>
      <c r="E17" s="93">
        <v>40000</v>
      </c>
    </row>
    <row r="18" spans="1:6" ht="13.5" thickBot="1" x14ac:dyDescent="0.25">
      <c r="A18" s="90" t="str">
        <f>'[1]Anexo II - Resumo dos Programas'!$B$8</f>
        <v>Gestão Pública Eficiente</v>
      </c>
      <c r="B18" s="95" t="s">
        <v>91</v>
      </c>
      <c r="C18" s="95" t="s">
        <v>85</v>
      </c>
      <c r="D18" s="95" t="s">
        <v>78</v>
      </c>
      <c r="E18" s="93">
        <v>40000</v>
      </c>
    </row>
    <row r="19" spans="1:6" x14ac:dyDescent="0.2">
      <c r="A19" s="90" t="str">
        <f>'[1]Anexo II - Resumo dos Programas'!$B$8</f>
        <v>Gestão Pública Eficiente</v>
      </c>
      <c r="B19" s="95" t="s">
        <v>92</v>
      </c>
      <c r="C19" s="95" t="s">
        <v>85</v>
      </c>
      <c r="D19" s="95" t="s">
        <v>78</v>
      </c>
      <c r="E19" s="93">
        <v>1025000</v>
      </c>
      <c r="F19" s="19"/>
    </row>
    <row r="20" spans="1:6" x14ac:dyDescent="0.2">
      <c r="A20" s="90" t="str">
        <f>'[1]Anexo II - Resumo dos Programas'!$B$8</f>
        <v>Gestão Pública Eficiente</v>
      </c>
      <c r="B20" s="95" t="s">
        <v>92</v>
      </c>
      <c r="C20" s="95" t="s">
        <v>93</v>
      </c>
      <c r="D20" s="95" t="s">
        <v>78</v>
      </c>
      <c r="E20" s="93">
        <v>320000</v>
      </c>
    </row>
    <row r="21" spans="1:6" x14ac:dyDescent="0.2">
      <c r="A21" s="90" t="str">
        <f>'[1]Anexo II - Resumo dos Programas'!$B$8</f>
        <v>Gestão Pública Eficiente</v>
      </c>
      <c r="B21" s="95" t="s">
        <v>94</v>
      </c>
      <c r="C21" s="95" t="s">
        <v>85</v>
      </c>
      <c r="D21" s="95" t="s">
        <v>78</v>
      </c>
      <c r="E21" s="93">
        <v>1030000</v>
      </c>
    </row>
    <row r="22" spans="1:6" x14ac:dyDescent="0.2">
      <c r="A22" s="90" t="str">
        <f>'[1]Anexo II - Resumo dos Programas'!$B$8</f>
        <v>Gestão Pública Eficiente</v>
      </c>
      <c r="B22" s="95" t="s">
        <v>95</v>
      </c>
      <c r="C22" s="95" t="s">
        <v>85</v>
      </c>
      <c r="D22" s="95" t="s">
        <v>86</v>
      </c>
      <c r="E22" s="93">
        <v>200000</v>
      </c>
    </row>
    <row r="23" spans="1:6" x14ac:dyDescent="0.2">
      <c r="A23" s="90" t="str">
        <f>'[1]Anexo II - Resumo dos Programas'!$B$8</f>
        <v>Gestão Pública Eficiente</v>
      </c>
      <c r="B23" s="95" t="s">
        <v>96</v>
      </c>
      <c r="C23" s="95" t="s">
        <v>85</v>
      </c>
      <c r="D23" s="95" t="s">
        <v>90</v>
      </c>
      <c r="E23" s="93">
        <v>840000</v>
      </c>
    </row>
    <row r="24" spans="1:6" ht="13.5" thickBot="1" x14ac:dyDescent="0.25">
      <c r="A24" s="90" t="str">
        <f>'[1]Anexo II - Resumo dos Programas'!$B$8</f>
        <v>Gestão Pública Eficiente</v>
      </c>
      <c r="B24" s="95" t="s">
        <v>97</v>
      </c>
      <c r="C24" s="95" t="s">
        <v>98</v>
      </c>
      <c r="D24" s="95" t="s">
        <v>99</v>
      </c>
      <c r="E24" s="93">
        <v>60000</v>
      </c>
      <c r="F24" s="19"/>
    </row>
    <row r="25" spans="1:6" ht="13.5" thickBot="1" x14ac:dyDescent="0.25">
      <c r="A25" s="90" t="str">
        <f>'[1]Anexo II - Resumo dos Programas'!$B$8</f>
        <v>Gestão Pública Eficiente</v>
      </c>
      <c r="B25" s="95" t="s">
        <v>337</v>
      </c>
      <c r="C25" s="95" t="s">
        <v>98</v>
      </c>
      <c r="D25" s="95" t="s">
        <v>78</v>
      </c>
      <c r="E25" s="93">
        <v>400000</v>
      </c>
      <c r="F25" s="19"/>
    </row>
    <row r="26" spans="1:6" ht="13.5" thickBot="1" x14ac:dyDescent="0.25">
      <c r="A26" s="90" t="str">
        <f>'[1]Anexo II - Resumo dos Programas'!B9</f>
        <v>Valorização da Produção Rural</v>
      </c>
      <c r="B26" s="95" t="s">
        <v>100</v>
      </c>
      <c r="C26" s="95" t="s">
        <v>101</v>
      </c>
      <c r="D26" s="95" t="s">
        <v>102</v>
      </c>
      <c r="E26" s="93">
        <v>4900000</v>
      </c>
    </row>
    <row r="27" spans="1:6" ht="13.5" thickBot="1" x14ac:dyDescent="0.25">
      <c r="A27" s="90" t="str">
        <f>'[1]Anexo II - Resumo dos Programas'!B10</f>
        <v>Promoção do Crescimento</v>
      </c>
      <c r="B27" s="95" t="s">
        <v>103</v>
      </c>
      <c r="C27" s="95" t="s">
        <v>104</v>
      </c>
      <c r="D27" s="95" t="s">
        <v>105</v>
      </c>
      <c r="E27" s="93">
        <v>11300000</v>
      </c>
      <c r="F27" s="19"/>
    </row>
    <row r="28" spans="1:6" ht="13.5" thickBot="1" x14ac:dyDescent="0.25">
      <c r="A28" s="90" t="s">
        <v>48</v>
      </c>
      <c r="B28" s="95" t="s">
        <v>107</v>
      </c>
      <c r="C28" s="95" t="s">
        <v>104</v>
      </c>
      <c r="D28" s="95" t="s">
        <v>105</v>
      </c>
      <c r="E28" s="93">
        <v>40000</v>
      </c>
    </row>
    <row r="29" spans="1:6" ht="13.5" thickBot="1" x14ac:dyDescent="0.25">
      <c r="A29" s="90" t="str">
        <f>'[1]Anexo II - Resumo dos Programas'!B11</f>
        <v>Desenvolvimento do Turismo</v>
      </c>
      <c r="B29" s="95" t="s">
        <v>108</v>
      </c>
      <c r="C29" s="95" t="s">
        <v>106</v>
      </c>
      <c r="D29" s="95" t="s">
        <v>109</v>
      </c>
      <c r="E29" s="93">
        <v>3060000</v>
      </c>
      <c r="F29" s="19"/>
    </row>
    <row r="30" spans="1:6" x14ac:dyDescent="0.2">
      <c r="A30" s="90" t="str">
        <f>A29</f>
        <v>Desenvolvimento do Turismo</v>
      </c>
      <c r="B30" s="95" t="s">
        <v>110</v>
      </c>
      <c r="C30" s="95" t="s">
        <v>111</v>
      </c>
      <c r="D30" s="95" t="str">
        <f>D29</f>
        <v xml:space="preserve">Turismo    </v>
      </c>
      <c r="E30" s="93">
        <v>12600000</v>
      </c>
    </row>
    <row r="31" spans="1:6" x14ac:dyDescent="0.2">
      <c r="A31" s="90" t="str">
        <f>A30</f>
        <v>Desenvolvimento do Turismo</v>
      </c>
      <c r="B31" s="95" t="s">
        <v>317</v>
      </c>
      <c r="C31" s="95" t="s">
        <v>111</v>
      </c>
      <c r="D31" s="95" t="str">
        <f>D30</f>
        <v xml:space="preserve">Turismo    </v>
      </c>
      <c r="E31" s="93">
        <v>910000</v>
      </c>
    </row>
    <row r="32" spans="1:6" x14ac:dyDescent="0.2">
      <c r="A32" s="90" t="str">
        <f>'[1]Anexo II - Resumo dos Programas'!$B$12</f>
        <v>Desenvolvimento Educacional</v>
      </c>
      <c r="B32" s="95" t="s">
        <v>112</v>
      </c>
      <c r="C32" s="95" t="s">
        <v>93</v>
      </c>
      <c r="D32" s="95" t="str">
        <f>D10</f>
        <v>Administracao Geral</v>
      </c>
      <c r="E32" s="93">
        <f>13600000+10000000</f>
        <v>23600000</v>
      </c>
      <c r="F32" s="19"/>
    </row>
    <row r="33" spans="1:6" x14ac:dyDescent="0.2">
      <c r="A33" s="90" t="str">
        <f>'[1]Anexo II - Resumo dos Programas'!$B$12</f>
        <v>Desenvolvimento Educacional</v>
      </c>
      <c r="B33" s="95" t="s">
        <v>113</v>
      </c>
      <c r="C33" s="95" t="s">
        <v>93</v>
      </c>
      <c r="D33" s="95" t="s">
        <v>114</v>
      </c>
      <c r="E33" s="93">
        <f>32100000+2420000</f>
        <v>34520000</v>
      </c>
    </row>
    <row r="34" spans="1:6" x14ac:dyDescent="0.2">
      <c r="A34" s="90" t="str">
        <f>'[1]Anexo II - Resumo dos Programas'!$B$12</f>
        <v>Desenvolvimento Educacional</v>
      </c>
      <c r="B34" s="95" t="s">
        <v>115</v>
      </c>
      <c r="C34" s="95" t="s">
        <v>93</v>
      </c>
      <c r="D34" s="95" t="s">
        <v>114</v>
      </c>
      <c r="E34" s="93">
        <f>24500000+19050000</f>
        <v>43550000</v>
      </c>
    </row>
    <row r="35" spans="1:6" x14ac:dyDescent="0.2">
      <c r="A35" s="90" t="str">
        <f>'[1]Anexo II - Resumo dos Programas'!$B$12</f>
        <v>Desenvolvimento Educacional</v>
      </c>
      <c r="B35" s="95" t="s">
        <v>116</v>
      </c>
      <c r="C35" s="95" t="s">
        <v>93</v>
      </c>
      <c r="D35" s="95" t="s">
        <v>114</v>
      </c>
      <c r="E35" s="93">
        <v>4080000</v>
      </c>
    </row>
    <row r="36" spans="1:6" x14ac:dyDescent="0.2">
      <c r="A36" s="90" t="str">
        <f>'[1]Anexo II - Resumo dos Programas'!$B$12</f>
        <v>Desenvolvimento Educacional</v>
      </c>
      <c r="B36" s="95" t="s">
        <v>117</v>
      </c>
      <c r="C36" s="95" t="s">
        <v>93</v>
      </c>
      <c r="D36" s="95" t="s">
        <v>118</v>
      </c>
      <c r="E36" s="93">
        <v>40000</v>
      </c>
    </row>
    <row r="37" spans="1:6" x14ac:dyDescent="0.2">
      <c r="A37" s="90" t="str">
        <f>'[1]Anexo II - Resumo dos Programas'!$B$12</f>
        <v>Desenvolvimento Educacional</v>
      </c>
      <c r="B37" s="95" t="s">
        <v>119</v>
      </c>
      <c r="C37" s="95" t="s">
        <v>93</v>
      </c>
      <c r="D37" s="95" t="s">
        <v>118</v>
      </c>
      <c r="E37" s="93">
        <v>34570000</v>
      </c>
    </row>
    <row r="38" spans="1:6" x14ac:dyDescent="0.2">
      <c r="A38" s="90" t="str">
        <f>'[1]Anexo II - Resumo dos Programas'!$B$12</f>
        <v>Desenvolvimento Educacional</v>
      </c>
      <c r="B38" s="95" t="s">
        <v>120</v>
      </c>
      <c r="C38" s="95" t="s">
        <v>93</v>
      </c>
      <c r="D38" s="95" t="s">
        <v>118</v>
      </c>
      <c r="E38" s="93">
        <v>47400000</v>
      </c>
    </row>
    <row r="39" spans="1:6" x14ac:dyDescent="0.2">
      <c r="A39" s="90" t="str">
        <f>'[1]Anexo II - Resumo dos Programas'!$B$12</f>
        <v>Desenvolvimento Educacional</v>
      </c>
      <c r="B39" s="95" t="s">
        <v>121</v>
      </c>
      <c r="C39" s="95" t="s">
        <v>93</v>
      </c>
      <c r="D39" s="95" t="s">
        <v>118</v>
      </c>
      <c r="E39" s="93">
        <v>4600000</v>
      </c>
    </row>
    <row r="40" spans="1:6" ht="13.5" thickBot="1" x14ac:dyDescent="0.25">
      <c r="A40" s="90" t="str">
        <f>'[1]Anexo II - Resumo dos Programas'!$B$12</f>
        <v>Desenvolvimento Educacional</v>
      </c>
      <c r="B40" s="95" t="s">
        <v>264</v>
      </c>
      <c r="C40" s="95" t="s">
        <v>93</v>
      </c>
      <c r="D40" s="95" t="s">
        <v>118</v>
      </c>
      <c r="E40" s="93">
        <v>40000</v>
      </c>
      <c r="F40" s="19"/>
    </row>
    <row r="41" spans="1:6" ht="13.5" thickBot="1" x14ac:dyDescent="0.25">
      <c r="A41" s="90" t="str">
        <f>'[1]Anexo II - Resumo dos Programas'!$B$13</f>
        <v>Proteção Social Especial</v>
      </c>
      <c r="B41" s="95" t="s">
        <v>122</v>
      </c>
      <c r="C41" s="95" t="s">
        <v>93</v>
      </c>
      <c r="D41" s="95" t="s">
        <v>123</v>
      </c>
      <c r="E41" s="93">
        <v>1460000</v>
      </c>
      <c r="F41" s="19"/>
    </row>
    <row r="42" spans="1:6" ht="13.5" thickBot="1" x14ac:dyDescent="0.25">
      <c r="A42" s="90" t="str">
        <f>'[1]Anexo II - Resumo dos Programas'!$B$13</f>
        <v>Proteção Social Especial</v>
      </c>
      <c r="B42" s="95" t="s">
        <v>124</v>
      </c>
      <c r="C42" s="95" t="s">
        <v>93</v>
      </c>
      <c r="D42" s="95" t="s">
        <v>123</v>
      </c>
      <c r="E42" s="93">
        <v>2740000</v>
      </c>
    </row>
    <row r="43" spans="1:6" ht="13.5" thickBot="1" x14ac:dyDescent="0.25">
      <c r="A43" s="90" t="str">
        <f>'[1]Anexo II - Resumo dos Programas'!$B$14</f>
        <v>Assistência ao Educando</v>
      </c>
      <c r="B43" s="95" t="s">
        <v>127</v>
      </c>
      <c r="C43" s="95" t="s">
        <v>93</v>
      </c>
      <c r="D43" s="95" t="s">
        <v>118</v>
      </c>
      <c r="E43" s="93">
        <v>3900000</v>
      </c>
      <c r="F43" s="19"/>
    </row>
    <row r="44" spans="1:6" ht="13.5" thickBot="1" x14ac:dyDescent="0.25">
      <c r="A44" s="90" t="str">
        <f>'[1]Anexo II - Resumo dos Programas'!$B$14</f>
        <v>Assistência ao Educando</v>
      </c>
      <c r="B44" s="95" t="s">
        <v>128</v>
      </c>
      <c r="C44" s="95" t="s">
        <v>93</v>
      </c>
      <c r="D44" s="95" t="s">
        <v>129</v>
      </c>
      <c r="E44" s="93">
        <v>4700000</v>
      </c>
    </row>
    <row r="45" spans="1:6" ht="13.5" thickBot="1" x14ac:dyDescent="0.25">
      <c r="A45" s="90" t="str">
        <f>'[1]Anexo II - Resumo dos Programas'!$B$14</f>
        <v>Assistência ao Educando</v>
      </c>
      <c r="B45" s="95" t="s">
        <v>130</v>
      </c>
      <c r="C45" s="95" t="s">
        <v>93</v>
      </c>
      <c r="D45" s="95" t="s">
        <v>129</v>
      </c>
      <c r="E45" s="93">
        <v>2500000</v>
      </c>
    </row>
    <row r="46" spans="1:6" ht="13.5" thickBot="1" x14ac:dyDescent="0.25">
      <c r="A46" s="90" t="str">
        <f>'[1]Anexo II - Resumo dos Programas'!$B$15</f>
        <v>Desenvolvimento da Cultura</v>
      </c>
      <c r="B46" s="95" t="s">
        <v>131</v>
      </c>
      <c r="C46" s="95" t="s">
        <v>132</v>
      </c>
      <c r="D46" s="95" t="s">
        <v>133</v>
      </c>
      <c r="E46" s="93">
        <v>5280000</v>
      </c>
      <c r="F46" s="19"/>
    </row>
    <row r="47" spans="1:6" ht="13.5" thickBot="1" x14ac:dyDescent="0.25">
      <c r="A47" s="90" t="str">
        <f>'[1]Anexo II - Resumo dos Programas'!$B$15</f>
        <v>Desenvolvimento da Cultura</v>
      </c>
      <c r="B47" s="95" t="s">
        <v>134</v>
      </c>
      <c r="C47" s="95" t="s">
        <v>132</v>
      </c>
      <c r="D47" s="95" t="s">
        <v>135</v>
      </c>
      <c r="E47" s="93">
        <v>688000</v>
      </c>
    </row>
    <row r="48" spans="1:6" ht="13.5" thickBot="1" x14ac:dyDescent="0.25">
      <c r="A48" s="90" t="str">
        <f>'[1]Anexo II - Resumo dos Programas'!$B$16</f>
        <v>Promoção do Desporto e Lazer</v>
      </c>
      <c r="B48" s="95" t="s">
        <v>136</v>
      </c>
      <c r="C48" s="95" t="s">
        <v>137</v>
      </c>
      <c r="D48" s="95" t="s">
        <v>138</v>
      </c>
      <c r="E48" s="93">
        <v>4860000</v>
      </c>
      <c r="F48" s="19"/>
    </row>
    <row r="49" spans="1:6" ht="13.5" thickBot="1" x14ac:dyDescent="0.25">
      <c r="A49" s="90" t="str">
        <f>'[1]Anexo II - Resumo dos Programas'!$B$16</f>
        <v>Promoção do Desporto e Lazer</v>
      </c>
      <c r="B49" s="95" t="s">
        <v>139</v>
      </c>
      <c r="C49" s="95" t="s">
        <v>137</v>
      </c>
      <c r="D49" s="95" t="s">
        <v>138</v>
      </c>
      <c r="E49" s="93">
        <v>7300000</v>
      </c>
    </row>
    <row r="50" spans="1:6" ht="13.5" thickBot="1" x14ac:dyDescent="0.25">
      <c r="A50" s="90" t="str">
        <f>'[1]Anexo II - Resumo dos Programas'!$B$16</f>
        <v>Promoção do Desporto e Lazer</v>
      </c>
      <c r="B50" s="95" t="s">
        <v>332</v>
      </c>
      <c r="C50" s="95" t="s">
        <v>137</v>
      </c>
      <c r="D50" s="95" t="s">
        <v>138</v>
      </c>
      <c r="E50" s="93">
        <v>4000000</v>
      </c>
    </row>
    <row r="51" spans="1:6" ht="13.5" thickBot="1" x14ac:dyDescent="0.25">
      <c r="A51" s="90" t="str">
        <f>'[1]Anexo II - Resumo dos Programas'!$B$17</f>
        <v>Mobilidade Urbana</v>
      </c>
      <c r="B51" s="95" t="s">
        <v>141</v>
      </c>
      <c r="C51" s="95" t="s">
        <v>142</v>
      </c>
      <c r="D51" s="95" t="s">
        <v>143</v>
      </c>
      <c r="E51" s="93">
        <v>18920000</v>
      </c>
      <c r="F51" s="19"/>
    </row>
    <row r="52" spans="1:6" ht="13.5" thickBot="1" x14ac:dyDescent="0.25">
      <c r="A52" s="90" t="str">
        <f>'[1]Anexo II - Resumo dos Programas'!$B$17</f>
        <v>Mobilidade Urbana</v>
      </c>
      <c r="B52" s="95" t="s">
        <v>144</v>
      </c>
      <c r="C52" s="95" t="s">
        <v>142</v>
      </c>
      <c r="D52" s="95" t="s">
        <v>143</v>
      </c>
      <c r="E52" s="93">
        <v>9300000</v>
      </c>
    </row>
    <row r="53" spans="1:6" ht="13.5" thickBot="1" x14ac:dyDescent="0.25">
      <c r="A53" s="90" t="str">
        <f>'[1]Anexo II - Resumo dos Programas'!$B$17</f>
        <v>Mobilidade Urbana</v>
      </c>
      <c r="B53" s="95" t="s">
        <v>341</v>
      </c>
      <c r="C53" s="95" t="s">
        <v>142</v>
      </c>
      <c r="D53" s="95" t="s">
        <v>143</v>
      </c>
      <c r="E53" s="93">
        <v>80000</v>
      </c>
    </row>
    <row r="54" spans="1:6" ht="13.5" thickBot="1" x14ac:dyDescent="0.25">
      <c r="A54" s="90" t="str">
        <f>'[1]Anexo II - Resumo dos Programas'!$B$18</f>
        <v>Melhoria das Vias Urbanas</v>
      </c>
      <c r="B54" s="95" t="s">
        <v>145</v>
      </c>
      <c r="C54" s="95" t="s">
        <v>146</v>
      </c>
      <c r="D54" s="95" t="s">
        <v>140</v>
      </c>
      <c r="E54" s="93">
        <v>5800000</v>
      </c>
      <c r="F54" s="19"/>
    </row>
    <row r="55" spans="1:6" ht="13.5" thickBot="1" x14ac:dyDescent="0.25">
      <c r="A55" s="90" t="str">
        <f>'[1]Anexo II - Resumo dos Programas'!$B$18</f>
        <v>Melhoria das Vias Urbanas</v>
      </c>
      <c r="B55" s="95" t="s">
        <v>313</v>
      </c>
      <c r="C55" s="95" t="s">
        <v>82</v>
      </c>
      <c r="D55" s="95" t="s">
        <v>140</v>
      </c>
      <c r="E55" s="93">
        <v>1900000</v>
      </c>
    </row>
    <row r="56" spans="1:6" ht="13.5" thickBot="1" x14ac:dyDescent="0.25">
      <c r="A56" s="90" t="str">
        <f>'[1]Anexo II - Resumo dos Programas'!$B$18</f>
        <v>Melhoria das Vias Urbanas</v>
      </c>
      <c r="B56" s="95" t="s">
        <v>147</v>
      </c>
      <c r="C56" s="95" t="s">
        <v>82</v>
      </c>
      <c r="D56" s="95" t="s">
        <v>140</v>
      </c>
      <c r="E56" s="93">
        <v>4200000</v>
      </c>
    </row>
    <row r="57" spans="1:6" ht="13.5" thickBot="1" x14ac:dyDescent="0.25">
      <c r="A57" s="90" t="str">
        <f>'[1]Anexo II - Resumo dos Programas'!$B$18</f>
        <v>Melhoria das Vias Urbanas</v>
      </c>
      <c r="B57" s="95" t="s">
        <v>148</v>
      </c>
      <c r="C57" s="95" t="s">
        <v>82</v>
      </c>
      <c r="D57" s="95" t="s">
        <v>140</v>
      </c>
      <c r="E57" s="93">
        <v>800000</v>
      </c>
    </row>
    <row r="58" spans="1:6" ht="13.5" thickBot="1" x14ac:dyDescent="0.25">
      <c r="A58" s="90" t="str">
        <f>'[1]Anexo II - Resumo dos Programas'!$B$18</f>
        <v>Melhoria das Vias Urbanas</v>
      </c>
      <c r="B58" s="95" t="s">
        <v>340</v>
      </c>
      <c r="C58" s="95" t="s">
        <v>82</v>
      </c>
      <c r="D58" s="95" t="s">
        <v>140</v>
      </c>
      <c r="E58" s="93">
        <v>400000</v>
      </c>
    </row>
    <row r="59" spans="1:6" ht="13.5" thickBot="1" x14ac:dyDescent="0.25">
      <c r="A59" s="90" t="str">
        <f>'[1]Anexo II - Resumo dos Programas'!$B$19</f>
        <v>Gestão Ambiental</v>
      </c>
      <c r="B59" s="95" t="s">
        <v>149</v>
      </c>
      <c r="C59" s="95" t="s">
        <v>57</v>
      </c>
      <c r="D59" s="95" t="s">
        <v>57</v>
      </c>
      <c r="E59" s="93">
        <v>5300000</v>
      </c>
      <c r="F59" s="19"/>
    </row>
    <row r="60" spans="1:6" ht="13.5" thickBot="1" x14ac:dyDescent="0.25">
      <c r="A60" s="90" t="str">
        <f>'[1]Anexo II - Resumo dos Programas'!$B$19</f>
        <v>Gestão Ambiental</v>
      </c>
      <c r="B60" s="95" t="s">
        <v>151</v>
      </c>
      <c r="C60" s="95" t="s">
        <v>57</v>
      </c>
      <c r="D60" s="95" t="s">
        <v>150</v>
      </c>
      <c r="E60" s="93">
        <v>24000</v>
      </c>
    </row>
    <row r="61" spans="1:6" ht="13.5" thickBot="1" x14ac:dyDescent="0.25">
      <c r="A61" s="90" t="str">
        <f>'[1]Anexo II - Resumo dos Programas'!$B$19</f>
        <v>Gestão Ambiental</v>
      </c>
      <c r="B61" s="95" t="s">
        <v>152</v>
      </c>
      <c r="C61" s="95" t="s">
        <v>153</v>
      </c>
      <c r="D61" s="95" t="s">
        <v>154</v>
      </c>
      <c r="E61" s="93">
        <v>12700000</v>
      </c>
    </row>
    <row r="62" spans="1:6" ht="13.5" thickBot="1" x14ac:dyDescent="0.25">
      <c r="A62" s="90" t="str">
        <f>'[1]Anexo II - Resumo dos Programas'!$B$19</f>
        <v>Gestão Ambiental</v>
      </c>
      <c r="B62" s="95" t="s">
        <v>314</v>
      </c>
      <c r="C62" s="95" t="s">
        <v>57</v>
      </c>
      <c r="D62" s="95" t="s">
        <v>150</v>
      </c>
      <c r="E62" s="93">
        <v>260000</v>
      </c>
    </row>
    <row r="63" spans="1:6" ht="13.5" thickBot="1" x14ac:dyDescent="0.25">
      <c r="A63" s="90" t="str">
        <f>'[1]Anexo II - Resumo dos Programas'!$B$19</f>
        <v>Gestão Ambiental</v>
      </c>
      <c r="B63" s="95" t="s">
        <v>155</v>
      </c>
      <c r="C63" s="95" t="s">
        <v>57</v>
      </c>
      <c r="D63" s="95" t="s">
        <v>150</v>
      </c>
      <c r="E63" s="93">
        <v>32000</v>
      </c>
    </row>
    <row r="64" spans="1:6" ht="13.5" thickBot="1" x14ac:dyDescent="0.25">
      <c r="A64" s="90" t="str">
        <f>'[1]Anexo II - Resumo dos Programas'!$B$19</f>
        <v>Gestão Ambiental</v>
      </c>
      <c r="B64" s="95" t="s">
        <v>156</v>
      </c>
      <c r="C64" s="95" t="s">
        <v>57</v>
      </c>
      <c r="D64" s="95" t="s">
        <v>157</v>
      </c>
      <c r="E64" s="93">
        <v>590000</v>
      </c>
    </row>
    <row r="65" spans="1:6" ht="13.5" thickBot="1" x14ac:dyDescent="0.25">
      <c r="A65" s="90" t="str">
        <f>'[1]Anexo II - Resumo dos Programas'!$B$19</f>
        <v>Gestão Ambiental</v>
      </c>
      <c r="B65" s="95" t="s">
        <v>158</v>
      </c>
      <c r="C65" s="95" t="s">
        <v>57</v>
      </c>
      <c r="D65" s="95" t="s">
        <v>150</v>
      </c>
      <c r="E65" s="93">
        <v>200000</v>
      </c>
    </row>
    <row r="66" spans="1:6" ht="13.5" thickBot="1" x14ac:dyDescent="0.25">
      <c r="A66" s="90" t="str">
        <f>'[1]Anexo II - Resumo dos Programas'!$B$20</f>
        <v>Saúde com Qualidade</v>
      </c>
      <c r="B66" s="95" t="s">
        <v>159</v>
      </c>
      <c r="C66" s="95" t="s">
        <v>160</v>
      </c>
      <c r="D66" s="95" t="s">
        <v>161</v>
      </c>
      <c r="E66" s="93">
        <v>61850000</v>
      </c>
    </row>
    <row r="67" spans="1:6" ht="13.5" thickBot="1" x14ac:dyDescent="0.25">
      <c r="A67" s="90" t="str">
        <f>'[1]Anexo II - Resumo dos Programas'!$B$20</f>
        <v>Saúde com Qualidade</v>
      </c>
      <c r="B67" s="95" t="s">
        <v>319</v>
      </c>
      <c r="C67" s="95" t="s">
        <v>160</v>
      </c>
      <c r="D67" s="95" t="s">
        <v>161</v>
      </c>
      <c r="E67" s="93">
        <v>20000</v>
      </c>
      <c r="F67" s="19"/>
    </row>
    <row r="68" spans="1:6" ht="13.5" thickBot="1" x14ac:dyDescent="0.25">
      <c r="A68" s="90" t="str">
        <f>'[1]Anexo II - Resumo dos Programas'!$B$20</f>
        <v>Saúde com Qualidade</v>
      </c>
      <c r="B68" s="95" t="s">
        <v>162</v>
      </c>
      <c r="C68" s="95" t="s">
        <v>160</v>
      </c>
      <c r="D68" s="95" t="s">
        <v>162</v>
      </c>
      <c r="E68" s="93">
        <v>200000</v>
      </c>
    </row>
    <row r="69" spans="1:6" ht="13.5" thickBot="1" x14ac:dyDescent="0.25">
      <c r="A69" s="90" t="str">
        <f>'[1]Anexo II - Resumo dos Programas'!$B$20</f>
        <v>Saúde com Qualidade</v>
      </c>
      <c r="B69" s="95" t="s">
        <v>163</v>
      </c>
      <c r="C69" s="95" t="s">
        <v>160</v>
      </c>
      <c r="D69" s="95" t="s">
        <v>163</v>
      </c>
      <c r="E69" s="93">
        <v>400000</v>
      </c>
    </row>
    <row r="70" spans="1:6" ht="13.5" thickBot="1" x14ac:dyDescent="0.25">
      <c r="A70" s="90" t="str">
        <f>'[1]Anexo II - Resumo dos Programas'!$B$20</f>
        <v>Saúde com Qualidade</v>
      </c>
      <c r="B70" s="95" t="s">
        <v>164</v>
      </c>
      <c r="C70" s="95" t="s">
        <v>160</v>
      </c>
      <c r="D70" s="95" t="s">
        <v>165</v>
      </c>
      <c r="E70" s="93">
        <v>15400000</v>
      </c>
    </row>
    <row r="71" spans="1:6" ht="13.5" thickBot="1" x14ac:dyDescent="0.25">
      <c r="A71" s="90" t="str">
        <f>'[1]Anexo II - Resumo dos Programas'!$B$20</f>
        <v>Saúde com Qualidade</v>
      </c>
      <c r="B71" s="95" t="s">
        <v>166</v>
      </c>
      <c r="C71" s="95" t="s">
        <v>160</v>
      </c>
      <c r="D71" s="95" t="s">
        <v>167</v>
      </c>
      <c r="E71" s="93">
        <v>2500000</v>
      </c>
    </row>
    <row r="72" spans="1:6" ht="13.5" thickBot="1" x14ac:dyDescent="0.25">
      <c r="A72" s="90" t="str">
        <f>'[1]Anexo II - Resumo dos Programas'!$B$20</f>
        <v>Saúde com Qualidade</v>
      </c>
      <c r="B72" s="95" t="s">
        <v>168</v>
      </c>
      <c r="C72" s="95" t="s">
        <v>160</v>
      </c>
      <c r="D72" s="95" t="s">
        <v>165</v>
      </c>
      <c r="E72" s="93">
        <v>27150000</v>
      </c>
    </row>
    <row r="73" spans="1:6" ht="13.5" thickBot="1" x14ac:dyDescent="0.25">
      <c r="A73" s="90" t="str">
        <f>'[1]Anexo II - Resumo dos Programas'!$B$20</f>
        <v>Saúde com Qualidade</v>
      </c>
      <c r="B73" s="95" t="s">
        <v>169</v>
      </c>
      <c r="C73" s="95" t="s">
        <v>160</v>
      </c>
      <c r="D73" s="95" t="s">
        <v>325</v>
      </c>
      <c r="E73" s="93">
        <v>7050000</v>
      </c>
    </row>
    <row r="74" spans="1:6" ht="13.5" thickBot="1" x14ac:dyDescent="0.25">
      <c r="A74" s="90" t="str">
        <f>'[1]Anexo II - Resumo dos Programas'!$B$20</f>
        <v>Saúde com Qualidade</v>
      </c>
      <c r="B74" s="107" t="s">
        <v>320</v>
      </c>
      <c r="C74" s="95" t="s">
        <v>160</v>
      </c>
      <c r="D74" s="95" t="s">
        <v>167</v>
      </c>
      <c r="E74" s="93">
        <v>860000</v>
      </c>
    </row>
    <row r="75" spans="1:6" ht="13.5" thickBot="1" x14ac:dyDescent="0.25">
      <c r="A75" s="90" t="str">
        <f>'[1]Anexo II - Resumo dos Programas'!$B$20</f>
        <v>Saúde com Qualidade</v>
      </c>
      <c r="B75" s="95" t="s">
        <v>321</v>
      </c>
      <c r="C75" s="95" t="s">
        <v>160</v>
      </c>
      <c r="D75" s="95" t="s">
        <v>167</v>
      </c>
      <c r="E75" s="93">
        <v>46000</v>
      </c>
    </row>
    <row r="76" spans="1:6" ht="13.5" thickBot="1" x14ac:dyDescent="0.25">
      <c r="A76" s="90" t="str">
        <f>'[1]Anexo II - Resumo dos Programas'!$B$20</f>
        <v>Saúde com Qualidade</v>
      </c>
      <c r="B76" s="95" t="s">
        <v>322</v>
      </c>
      <c r="C76" s="95" t="s">
        <v>160</v>
      </c>
      <c r="D76" s="95" t="s">
        <v>167</v>
      </c>
      <c r="E76" s="93">
        <v>46000</v>
      </c>
    </row>
    <row r="77" spans="1:6" ht="13.5" thickBot="1" x14ac:dyDescent="0.25">
      <c r="A77" s="90" t="str">
        <f>'[1]Anexo II - Resumo dos Programas'!$B$20</f>
        <v>Saúde com Qualidade</v>
      </c>
      <c r="B77" s="95" t="s">
        <v>323</v>
      </c>
      <c r="C77" s="95" t="s">
        <v>160</v>
      </c>
      <c r="D77" s="95" t="s">
        <v>167</v>
      </c>
      <c r="E77" s="93">
        <v>150000</v>
      </c>
    </row>
    <row r="78" spans="1:6" ht="13.5" thickBot="1" x14ac:dyDescent="0.25">
      <c r="A78" s="90" t="str">
        <f>'[1]Anexo II - Resumo dos Programas'!$B$20</f>
        <v>Saúde com Qualidade</v>
      </c>
      <c r="B78" s="95" t="s">
        <v>324</v>
      </c>
      <c r="C78" s="95" t="s">
        <v>160</v>
      </c>
      <c r="D78" s="95" t="s">
        <v>167</v>
      </c>
      <c r="E78" s="93">
        <v>630000</v>
      </c>
    </row>
    <row r="79" spans="1:6" ht="13.5" thickBot="1" x14ac:dyDescent="0.25">
      <c r="A79" s="90" t="str">
        <f>'[1]Anexo II - Resumo dos Programas'!$B$20</f>
        <v>Saúde com Qualidade</v>
      </c>
      <c r="B79" s="95" t="s">
        <v>326</v>
      </c>
      <c r="C79" s="95" t="s">
        <v>160</v>
      </c>
      <c r="D79" s="95" t="s">
        <v>167</v>
      </c>
      <c r="E79" s="93">
        <v>38000</v>
      </c>
    </row>
    <row r="80" spans="1:6" ht="13.5" thickBot="1" x14ac:dyDescent="0.25">
      <c r="A80" s="90" t="str">
        <f>'[1]Anexo II - Resumo dos Programas'!$B$21</f>
        <v>Proteção Social Básica</v>
      </c>
      <c r="B80" s="95" t="s">
        <v>170</v>
      </c>
      <c r="C80" s="95" t="s">
        <v>126</v>
      </c>
      <c r="D80" s="95" t="s">
        <v>171</v>
      </c>
      <c r="E80" s="93">
        <f>110000*4</f>
        <v>440000</v>
      </c>
      <c r="F80" s="19"/>
    </row>
    <row r="81" spans="1:6" ht="13.5" thickBot="1" x14ac:dyDescent="0.25">
      <c r="A81" s="90" t="str">
        <f>'[1]Anexo II - Resumo dos Programas'!$B$21</f>
        <v>Proteção Social Básica</v>
      </c>
      <c r="B81" s="95" t="s">
        <v>172</v>
      </c>
      <c r="C81" s="95" t="s">
        <v>126</v>
      </c>
      <c r="D81" s="95" t="s">
        <v>173</v>
      </c>
      <c r="E81" s="93">
        <v>183000</v>
      </c>
    </row>
    <row r="82" spans="1:6" ht="13.5" thickBot="1" x14ac:dyDescent="0.25">
      <c r="A82" s="90" t="str">
        <f>'[1]Anexo II - Resumo dos Programas'!$B$21</f>
        <v>Proteção Social Básica</v>
      </c>
      <c r="B82" s="95" t="s">
        <v>174</v>
      </c>
      <c r="C82" s="95" t="s">
        <v>126</v>
      </c>
      <c r="D82" s="95" t="s">
        <v>171</v>
      </c>
      <c r="E82" s="93">
        <f>431000+440000+450000+460000</f>
        <v>1781000</v>
      </c>
    </row>
    <row r="83" spans="1:6" x14ac:dyDescent="0.2">
      <c r="A83" s="90" t="str">
        <f>'[1]Anexo II - Resumo dos Programas'!$B$21</f>
        <v>Proteção Social Básica</v>
      </c>
      <c r="B83" s="95" t="s">
        <v>329</v>
      </c>
      <c r="C83" s="95" t="s">
        <v>126</v>
      </c>
      <c r="D83" s="95" t="s">
        <v>173</v>
      </c>
      <c r="E83" s="93">
        <v>4100000</v>
      </c>
    </row>
    <row r="84" spans="1:6" x14ac:dyDescent="0.2">
      <c r="A84" s="90" t="str">
        <f>'[1]Anexo II - Resumo dos Programas'!$B$21</f>
        <v>Proteção Social Básica</v>
      </c>
      <c r="B84" s="95" t="s">
        <v>125</v>
      </c>
      <c r="C84" s="95" t="s">
        <v>126</v>
      </c>
      <c r="D84" s="96" t="s">
        <v>277</v>
      </c>
      <c r="E84" s="97">
        <v>432000</v>
      </c>
    </row>
    <row r="85" spans="1:6" ht="13.5" thickBot="1" x14ac:dyDescent="0.25">
      <c r="A85" s="90" t="str">
        <f>'[1]Anexo II - Resumo dos Programas'!$B$21</f>
        <v>Proteção Social Básica</v>
      </c>
      <c r="B85" s="95" t="s">
        <v>330</v>
      </c>
      <c r="C85" s="95" t="s">
        <v>126</v>
      </c>
      <c r="D85" s="95" t="s">
        <v>173</v>
      </c>
      <c r="E85" s="98">
        <v>184000</v>
      </c>
    </row>
    <row r="86" spans="1:6" ht="13.5" thickBot="1" x14ac:dyDescent="0.25">
      <c r="A86" s="90" t="str">
        <f>'[1]Anexo II - Resumo dos Programas'!$B$21</f>
        <v>Proteção Social Básica</v>
      </c>
      <c r="B86" s="95" t="s">
        <v>175</v>
      </c>
      <c r="C86" s="95" t="s">
        <v>126</v>
      </c>
      <c r="D86" s="95" t="s">
        <v>173</v>
      </c>
      <c r="E86" s="93">
        <v>60000</v>
      </c>
    </row>
    <row r="87" spans="1:6" ht="13.5" thickBot="1" x14ac:dyDescent="0.25">
      <c r="A87" s="90" t="str">
        <f>'[1]Anexo II - Resumo dos Programas'!$B$21</f>
        <v>Proteção Social Básica</v>
      </c>
      <c r="B87" s="95" t="s">
        <v>176</v>
      </c>
      <c r="C87" s="95" t="s">
        <v>126</v>
      </c>
      <c r="D87" s="95" t="s">
        <v>177</v>
      </c>
      <c r="E87" s="93">
        <v>196000</v>
      </c>
      <c r="F87" s="19"/>
    </row>
    <row r="88" spans="1:6" ht="13.5" thickBot="1" x14ac:dyDescent="0.25">
      <c r="A88" s="90" t="s">
        <v>32</v>
      </c>
      <c r="B88" s="95" t="s">
        <v>178</v>
      </c>
      <c r="C88" s="95" t="s">
        <v>179</v>
      </c>
      <c r="D88" s="95" t="s">
        <v>180</v>
      </c>
      <c r="E88" s="93">
        <v>20000</v>
      </c>
    </row>
    <row r="89" spans="1:6" ht="13.5" thickBot="1" x14ac:dyDescent="0.25">
      <c r="A89" s="90" t="str">
        <f>'[1]Anexo II - Resumo dos Programas'!B22</f>
        <v>Gestão dos Serviços de Água</v>
      </c>
      <c r="B89" s="95" t="s">
        <v>348</v>
      </c>
      <c r="C89" s="95" t="s">
        <v>153</v>
      </c>
      <c r="D89" s="95" t="s">
        <v>181</v>
      </c>
      <c r="E89" s="93">
        <v>21810000</v>
      </c>
      <c r="F89" s="19"/>
    </row>
    <row r="90" spans="1:6" ht="13.5" thickBot="1" x14ac:dyDescent="0.25">
      <c r="A90" s="90" t="str">
        <f>'[1]Anexo II - Resumo dos Programas'!$B$23</f>
        <v>Manutenção dos Serviços de Água</v>
      </c>
      <c r="B90" s="95" t="s">
        <v>349</v>
      </c>
      <c r="C90" s="95" t="s">
        <v>153</v>
      </c>
      <c r="D90" s="95" t="s">
        <v>181</v>
      </c>
      <c r="E90" s="93">
        <v>32260000</v>
      </c>
    </row>
    <row r="91" spans="1:6" ht="13.5" thickBot="1" x14ac:dyDescent="0.25">
      <c r="A91" s="90" t="str">
        <f>'[1]Anexo II - Resumo dos Programas'!$B$23</f>
        <v>Manutenção dos Serviços de Água</v>
      </c>
      <c r="B91" s="95" t="s">
        <v>350</v>
      </c>
      <c r="C91" s="95" t="s">
        <v>153</v>
      </c>
      <c r="D91" s="95" t="s">
        <v>181</v>
      </c>
      <c r="E91" s="93">
        <v>4430000</v>
      </c>
    </row>
    <row r="92" spans="1:6" ht="13.5" thickBot="1" x14ac:dyDescent="0.25">
      <c r="A92" s="99" t="s">
        <v>62</v>
      </c>
      <c r="B92" s="95" t="s">
        <v>182</v>
      </c>
      <c r="C92" s="95" t="s">
        <v>183</v>
      </c>
      <c r="D92" s="95" t="s">
        <v>161</v>
      </c>
      <c r="E92" s="93">
        <v>1780000</v>
      </c>
      <c r="F92" s="19"/>
    </row>
    <row r="93" spans="1:6" ht="13.5" thickBot="1" x14ac:dyDescent="0.25">
      <c r="A93" s="99" t="str">
        <f>'[1]Anexo II - Resumo dos Programas'!B24</f>
        <v>RPPS</v>
      </c>
      <c r="B93" s="95" t="s">
        <v>184</v>
      </c>
      <c r="C93" s="95" t="s">
        <v>183</v>
      </c>
      <c r="D93" s="95" t="s">
        <v>185</v>
      </c>
      <c r="E93" s="93">
        <v>37000000</v>
      </c>
    </row>
    <row r="94" spans="1:6" ht="13.5" thickBot="1" x14ac:dyDescent="0.25">
      <c r="A94" s="273" t="s">
        <v>186</v>
      </c>
      <c r="B94" s="273"/>
      <c r="C94" s="273"/>
      <c r="D94" s="273"/>
      <c r="E94" s="130">
        <f>SUM(E5:E93)</f>
        <v>619893000</v>
      </c>
    </row>
    <row r="95" spans="1:6" x14ac:dyDescent="0.2">
      <c r="E95" s="19"/>
    </row>
  </sheetData>
  <sheetProtection selectLockedCells="1" selectUnlockedCells="1"/>
  <mergeCells count="4">
    <mergeCell ref="A1:E1"/>
    <mergeCell ref="A2:E2"/>
    <mergeCell ref="A3:E3"/>
    <mergeCell ref="A94:D94"/>
  </mergeCells>
  <pageMargins left="0.25" right="0.25" top="0.75" bottom="0.75" header="0.51180555555555551" footer="0.51180555555555551"/>
  <pageSetup paperSize="9" scale="95"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DAA5-F175-49C0-8B25-71C3539E828D}">
  <sheetPr>
    <pageSetUpPr fitToPage="1"/>
  </sheetPr>
  <dimension ref="B1:L146"/>
  <sheetViews>
    <sheetView topLeftCell="A115" zoomScale="110" zoomScaleNormal="110" workbookViewId="0">
      <selection activeCell="C147" sqref="C147"/>
    </sheetView>
  </sheetViews>
  <sheetFormatPr defaultRowHeight="12.75" x14ac:dyDescent="0.2"/>
  <cols>
    <col min="1" max="1" width="9.140625" style="1"/>
    <col min="2" max="2" width="6.85546875" style="1" customWidth="1"/>
    <col min="3" max="3" width="74.7109375" style="1" customWidth="1"/>
    <col min="4" max="5" width="18" style="1" customWidth="1"/>
    <col min="6" max="6" width="18" style="30" customWidth="1"/>
    <col min="7" max="7" width="18" style="1" customWidth="1"/>
    <col min="8" max="8" width="18" style="1" bestFit="1" customWidth="1"/>
    <col min="9" max="11" width="16.85546875" style="1" customWidth="1"/>
    <col min="12" max="12" width="15" style="1" bestFit="1" customWidth="1"/>
    <col min="13" max="16384" width="9.140625" style="1"/>
  </cols>
  <sheetData>
    <row r="1" spans="2:7" ht="16.5" thickBot="1" x14ac:dyDescent="0.3">
      <c r="B1" s="286" t="s">
        <v>0</v>
      </c>
      <c r="C1" s="287"/>
      <c r="D1" s="287"/>
      <c r="E1" s="287"/>
      <c r="F1" s="287"/>
      <c r="G1" s="288"/>
    </row>
    <row r="2" spans="2:7" ht="12.75" customHeight="1" x14ac:dyDescent="0.2">
      <c r="B2" s="289" t="s">
        <v>270</v>
      </c>
      <c r="C2" s="253"/>
      <c r="D2" s="253"/>
      <c r="E2" s="253"/>
      <c r="F2" s="253"/>
      <c r="G2" s="290"/>
    </row>
    <row r="3" spans="2:7" ht="13.5" thickBot="1" x14ac:dyDescent="0.25">
      <c r="B3" s="74"/>
      <c r="C3" s="290" t="s">
        <v>187</v>
      </c>
      <c r="D3" s="290"/>
      <c r="E3" s="290"/>
      <c r="F3" s="290"/>
      <c r="G3" s="290"/>
    </row>
    <row r="4" spans="2:7" ht="18" x14ac:dyDescent="0.25">
      <c r="B4" s="136" t="s">
        <v>188</v>
      </c>
      <c r="C4" s="137" t="s">
        <v>189</v>
      </c>
      <c r="D4" s="138">
        <v>2026</v>
      </c>
      <c r="E4" s="138">
        <v>2027</v>
      </c>
      <c r="F4" s="139">
        <v>2028</v>
      </c>
      <c r="G4" s="140">
        <v>2029</v>
      </c>
    </row>
    <row r="5" spans="2:7" ht="12.75" customHeight="1" x14ac:dyDescent="0.2">
      <c r="B5" s="291" t="s">
        <v>290</v>
      </c>
      <c r="C5" s="292"/>
      <c r="D5" s="292"/>
      <c r="E5" s="292"/>
      <c r="F5" s="292"/>
      <c r="G5" s="293"/>
    </row>
    <row r="6" spans="2:7" ht="15" x14ac:dyDescent="0.25">
      <c r="B6" s="171">
        <v>2001</v>
      </c>
      <c r="C6" s="66" t="s">
        <v>190</v>
      </c>
      <c r="D6" s="41">
        <f>1000000-D7</f>
        <v>990000</v>
      </c>
      <c r="E6" s="41">
        <f>800000-E7</f>
        <v>790000</v>
      </c>
      <c r="F6" s="41">
        <f>850000-F7</f>
        <v>840000</v>
      </c>
      <c r="G6" s="142">
        <f>900000-G7</f>
        <v>890000</v>
      </c>
    </row>
    <row r="7" spans="2:7" ht="15.75" thickBot="1" x14ac:dyDescent="0.3">
      <c r="B7" s="147"/>
      <c r="C7" s="170" t="s">
        <v>333</v>
      </c>
      <c r="D7" s="24">
        <v>10000</v>
      </c>
      <c r="E7" s="24">
        <v>10000</v>
      </c>
      <c r="F7" s="24">
        <v>10000</v>
      </c>
      <c r="G7" s="24">
        <v>10000</v>
      </c>
    </row>
    <row r="8" spans="2:7" ht="15.75" thickBot="1" x14ac:dyDescent="0.3">
      <c r="B8" s="58"/>
      <c r="C8" s="68" t="s">
        <v>191</v>
      </c>
      <c r="D8" s="77">
        <f>SUM(D6+D7)</f>
        <v>1000000</v>
      </c>
      <c r="E8" s="78">
        <f>SUM(E6+E7)</f>
        <v>800000</v>
      </c>
      <c r="F8" s="78">
        <f>SUM(F6+F7)</f>
        <v>850000</v>
      </c>
      <c r="G8" s="143">
        <f>SUM(G6+G7)</f>
        <v>900000</v>
      </c>
    </row>
    <row r="9" spans="2:7" x14ac:dyDescent="0.2">
      <c r="B9" s="58"/>
      <c r="F9" s="1"/>
      <c r="G9" s="59"/>
    </row>
    <row r="10" spans="2:7" ht="12.75" customHeight="1" x14ac:dyDescent="0.2">
      <c r="B10" s="291" t="s">
        <v>291</v>
      </c>
      <c r="C10" s="292"/>
      <c r="D10" s="292"/>
      <c r="E10" s="292"/>
      <c r="F10" s="292"/>
      <c r="G10" s="293"/>
    </row>
    <row r="11" spans="2:7" ht="15" x14ac:dyDescent="0.25">
      <c r="B11" s="144">
        <v>2002</v>
      </c>
      <c r="C11" s="65" t="s">
        <v>192</v>
      </c>
      <c r="D11" s="20">
        <f>1160000+50000</f>
        <v>1210000</v>
      </c>
      <c r="E11" s="20">
        <f>D11+50000</f>
        <v>1260000</v>
      </c>
      <c r="F11" s="20">
        <f>E11+50000</f>
        <v>1310000</v>
      </c>
      <c r="G11" s="145">
        <f>F11+50000</f>
        <v>1360000</v>
      </c>
    </row>
    <row r="12" spans="2:7" ht="15" x14ac:dyDescent="0.25">
      <c r="B12" s="144">
        <v>2003</v>
      </c>
      <c r="C12" s="65" t="s">
        <v>309</v>
      </c>
      <c r="D12" s="20">
        <v>350000</v>
      </c>
      <c r="E12" s="20">
        <v>250000</v>
      </c>
      <c r="F12" s="20">
        <v>250000</v>
      </c>
      <c r="G12" s="145">
        <v>200000</v>
      </c>
    </row>
    <row r="13" spans="2:7" ht="15" x14ac:dyDescent="0.25">
      <c r="B13" s="144">
        <v>2004</v>
      </c>
      <c r="C13" s="65" t="s">
        <v>13</v>
      </c>
      <c r="D13" s="20">
        <f>820000</f>
        <v>820000</v>
      </c>
      <c r="E13" s="20">
        <v>840000</v>
      </c>
      <c r="F13" s="20">
        <v>860000</v>
      </c>
      <c r="G13" s="145">
        <v>880000</v>
      </c>
    </row>
    <row r="14" spans="2:7" ht="15.75" thickBot="1" x14ac:dyDescent="0.3">
      <c r="B14" s="144">
        <v>3017</v>
      </c>
      <c r="C14" s="65" t="s">
        <v>15</v>
      </c>
      <c r="D14" s="41">
        <v>12000</v>
      </c>
      <c r="E14" s="41">
        <v>12000</v>
      </c>
      <c r="F14" s="41">
        <v>12000</v>
      </c>
      <c r="G14" s="142">
        <v>12000</v>
      </c>
    </row>
    <row r="15" spans="2:7" ht="15.75" thickBot="1" x14ac:dyDescent="0.3">
      <c r="B15" s="58"/>
      <c r="C15" s="68" t="s">
        <v>191</v>
      </c>
      <c r="D15" s="108">
        <f>SUM(D11:D14)</f>
        <v>2392000</v>
      </c>
      <c r="E15" s="109">
        <f>SUM(E11:E14)</f>
        <v>2362000</v>
      </c>
      <c r="F15" s="110">
        <f>SUM(F11:F14)</f>
        <v>2432000</v>
      </c>
      <c r="G15" s="111">
        <f>SUM(G11:G14)</f>
        <v>2452000</v>
      </c>
    </row>
    <row r="16" spans="2:7" x14ac:dyDescent="0.2">
      <c r="B16" s="58"/>
      <c r="G16" s="59"/>
    </row>
    <row r="17" spans="2:11" x14ac:dyDescent="0.2">
      <c r="B17" s="280" t="s">
        <v>292</v>
      </c>
      <c r="C17" s="281"/>
      <c r="D17" s="292"/>
      <c r="E17" s="292"/>
      <c r="F17" s="292"/>
      <c r="G17" s="293"/>
    </row>
    <row r="18" spans="2:11" ht="15" x14ac:dyDescent="0.25">
      <c r="B18" s="146">
        <v>2007</v>
      </c>
      <c r="C18" s="82" t="s">
        <v>193</v>
      </c>
      <c r="D18" s="128">
        <f>3650000+130000-100000</f>
        <v>3680000</v>
      </c>
      <c r="E18" s="20">
        <f>3910000-100000</f>
        <v>3810000</v>
      </c>
      <c r="F18" s="20">
        <f>4040000-100000</f>
        <v>3940000</v>
      </c>
      <c r="G18" s="145">
        <f>4170000-100000</f>
        <v>4070000</v>
      </c>
    </row>
    <row r="19" spans="2:11" ht="15" x14ac:dyDescent="0.25">
      <c r="B19" s="146">
        <v>2136</v>
      </c>
      <c r="C19" s="82" t="s">
        <v>262</v>
      </c>
      <c r="D19" s="128">
        <f>260000+20000</f>
        <v>280000</v>
      </c>
      <c r="E19" s="20">
        <f>D19+20000</f>
        <v>300000</v>
      </c>
      <c r="F19" s="20">
        <f>E19+20000</f>
        <v>320000</v>
      </c>
      <c r="G19" s="145">
        <f>F19+20000</f>
        <v>340000</v>
      </c>
    </row>
    <row r="20" spans="2:11" ht="15" x14ac:dyDescent="0.25">
      <c r="B20" s="146">
        <v>3003</v>
      </c>
      <c r="C20" s="82" t="s">
        <v>194</v>
      </c>
      <c r="D20" s="128">
        <v>10000</v>
      </c>
      <c r="E20" s="20">
        <v>10000</v>
      </c>
      <c r="F20" s="20">
        <v>10000</v>
      </c>
      <c r="G20" s="145">
        <v>10000</v>
      </c>
      <c r="H20" s="21"/>
    </row>
    <row r="21" spans="2:11" ht="15" x14ac:dyDescent="0.25">
      <c r="B21" s="147">
        <v>3020</v>
      </c>
      <c r="C21" s="82" t="s">
        <v>195</v>
      </c>
      <c r="D21" s="128">
        <f>200000+60000+55000+147500</f>
        <v>462500</v>
      </c>
      <c r="E21" s="20">
        <f>147500+20000</f>
        <v>167500</v>
      </c>
      <c r="F21" s="20">
        <f>E21+20000</f>
        <v>187500</v>
      </c>
      <c r="G21" s="145">
        <f>F21+20000</f>
        <v>207500</v>
      </c>
      <c r="H21" s="22"/>
      <c r="I21" s="22"/>
      <c r="J21" s="22"/>
      <c r="K21" s="22"/>
    </row>
    <row r="22" spans="2:11" ht="15" x14ac:dyDescent="0.25">
      <c r="B22" s="147">
        <v>3021</v>
      </c>
      <c r="C22" s="82" t="s">
        <v>196</v>
      </c>
      <c r="D22" s="128">
        <f>150000+80000</f>
        <v>230000</v>
      </c>
      <c r="E22" s="20">
        <v>300000</v>
      </c>
      <c r="F22" s="20">
        <v>250000</v>
      </c>
      <c r="G22" s="145">
        <v>250000</v>
      </c>
    </row>
    <row r="23" spans="2:11" ht="15" x14ac:dyDescent="0.25">
      <c r="B23" s="147">
        <v>3024</v>
      </c>
      <c r="C23" s="82" t="s">
        <v>197</v>
      </c>
      <c r="D23" s="128">
        <v>10000</v>
      </c>
      <c r="E23" s="20">
        <v>10000</v>
      </c>
      <c r="F23" s="20">
        <v>10000</v>
      </c>
      <c r="G23" s="145">
        <v>10000</v>
      </c>
    </row>
    <row r="24" spans="2:11" ht="15" x14ac:dyDescent="0.25">
      <c r="B24" s="147">
        <v>3025</v>
      </c>
      <c r="C24" s="82" t="s">
        <v>198</v>
      </c>
      <c r="D24" s="128">
        <v>300000</v>
      </c>
      <c r="E24" s="20">
        <v>240000</v>
      </c>
      <c r="F24" s="20">
        <v>150000</v>
      </c>
      <c r="G24" s="145">
        <v>150000</v>
      </c>
    </row>
    <row r="25" spans="2:11" ht="15.75" thickBot="1" x14ac:dyDescent="0.3">
      <c r="B25" s="178">
        <v>2096</v>
      </c>
      <c r="C25" s="179" t="s">
        <v>199</v>
      </c>
      <c r="D25" s="129">
        <v>30000</v>
      </c>
      <c r="E25" s="41">
        <v>10000</v>
      </c>
      <c r="F25" s="41">
        <v>10000</v>
      </c>
      <c r="G25" s="142">
        <v>10000</v>
      </c>
    </row>
    <row r="26" spans="2:11" ht="15.75" thickBot="1" x14ac:dyDescent="0.3">
      <c r="B26" s="147">
        <v>4042</v>
      </c>
      <c r="C26" s="180" t="s">
        <v>338</v>
      </c>
      <c r="D26" s="42">
        <v>100000</v>
      </c>
      <c r="E26" s="42">
        <v>100000</v>
      </c>
      <c r="F26" s="181">
        <v>100000</v>
      </c>
      <c r="G26" s="182">
        <v>100000</v>
      </c>
    </row>
    <row r="27" spans="2:11" ht="15.75" thickBot="1" x14ac:dyDescent="0.3">
      <c r="B27" s="58"/>
      <c r="C27" s="68" t="s">
        <v>191</v>
      </c>
      <c r="D27" s="175">
        <f>SUM(D18:D26)</f>
        <v>5102500</v>
      </c>
      <c r="E27" s="176">
        <f>SUM(E18:E26)</f>
        <v>4947500</v>
      </c>
      <c r="F27" s="176">
        <f>SUM(F18:F26)</f>
        <v>4977500</v>
      </c>
      <c r="G27" s="177">
        <f>SUM(G18:G26)</f>
        <v>5147500</v>
      </c>
    </row>
    <row r="28" spans="2:11" x14ac:dyDescent="0.2">
      <c r="B28" s="58"/>
      <c r="G28" s="59"/>
    </row>
    <row r="29" spans="2:11" x14ac:dyDescent="0.2">
      <c r="B29" s="280" t="s">
        <v>293</v>
      </c>
      <c r="C29" s="281"/>
      <c r="D29" s="281"/>
      <c r="E29" s="281"/>
      <c r="F29" s="281"/>
      <c r="G29" s="282"/>
    </row>
    <row r="30" spans="2:11" ht="15" x14ac:dyDescent="0.25">
      <c r="B30" s="144">
        <v>2011</v>
      </c>
      <c r="C30" s="65" t="s">
        <v>200</v>
      </c>
      <c r="D30" s="20">
        <f>900000+55000</f>
        <v>955000</v>
      </c>
      <c r="E30" s="20">
        <f>D30+55000</f>
        <v>1010000</v>
      </c>
      <c r="F30" s="20">
        <f>E30+55000</f>
        <v>1065000</v>
      </c>
      <c r="G30" s="145">
        <f>F30+55000</f>
        <v>1120000</v>
      </c>
    </row>
    <row r="31" spans="2:11" ht="15" x14ac:dyDescent="0.25">
      <c r="B31" s="144">
        <v>2013</v>
      </c>
      <c r="C31" s="65" t="s">
        <v>312</v>
      </c>
      <c r="D31" s="20">
        <f>1100000+50000</f>
        <v>1150000</v>
      </c>
      <c r="E31" s="20">
        <f t="shared" ref="E31:G32" si="0">D31+50000</f>
        <v>1200000</v>
      </c>
      <c r="F31" s="20">
        <f t="shared" si="0"/>
        <v>1250000</v>
      </c>
      <c r="G31" s="145">
        <f t="shared" si="0"/>
        <v>1300000</v>
      </c>
    </row>
    <row r="32" spans="2:11" ht="15" x14ac:dyDescent="0.25">
      <c r="B32" s="144">
        <v>2014</v>
      </c>
      <c r="C32" s="65" t="s">
        <v>202</v>
      </c>
      <c r="D32" s="20">
        <f>2700000+50000</f>
        <v>2750000</v>
      </c>
      <c r="E32" s="20">
        <f t="shared" si="0"/>
        <v>2800000</v>
      </c>
      <c r="F32" s="20">
        <f t="shared" si="0"/>
        <v>2850000</v>
      </c>
      <c r="G32" s="145">
        <f t="shared" si="0"/>
        <v>2900000</v>
      </c>
    </row>
    <row r="33" spans="2:11" ht="15.75" thickBot="1" x14ac:dyDescent="0.3">
      <c r="B33" s="144">
        <v>3027</v>
      </c>
      <c r="C33" s="65" t="s">
        <v>204</v>
      </c>
      <c r="D33" s="41">
        <v>10000</v>
      </c>
      <c r="E33" s="41">
        <v>10000</v>
      </c>
      <c r="F33" s="41">
        <v>10000</v>
      </c>
      <c r="G33" s="142">
        <v>10000</v>
      </c>
    </row>
    <row r="34" spans="2:11" ht="13.5" thickBot="1" x14ac:dyDescent="0.25">
      <c r="B34" s="61"/>
      <c r="C34" s="148" t="s">
        <v>191</v>
      </c>
      <c r="D34" s="112">
        <f>SUM(D30:D33)</f>
        <v>4865000</v>
      </c>
      <c r="E34" s="113">
        <f>SUM(E30:E33)</f>
        <v>5020000</v>
      </c>
      <c r="F34" s="114">
        <f>SUM(F30:F33)</f>
        <v>5175000</v>
      </c>
      <c r="G34" s="115">
        <f>SUM(G30:G33)</f>
        <v>5330000</v>
      </c>
    </row>
    <row r="35" spans="2:11" ht="13.5" thickBot="1" x14ac:dyDescent="0.25"/>
    <row r="36" spans="2:11" x14ac:dyDescent="0.2">
      <c r="B36" s="283" t="s">
        <v>294</v>
      </c>
      <c r="C36" s="284"/>
      <c r="D36" s="284"/>
      <c r="E36" s="284"/>
      <c r="F36" s="284"/>
      <c r="G36" s="285"/>
    </row>
    <row r="37" spans="2:11" ht="15" x14ac:dyDescent="0.25">
      <c r="B37" s="146">
        <v>2020</v>
      </c>
      <c r="C37" s="82" t="s">
        <v>205</v>
      </c>
      <c r="D37" s="128">
        <f>2900000+200000</f>
        <v>3100000</v>
      </c>
      <c r="E37" s="20">
        <v>3300000</v>
      </c>
      <c r="F37" s="20">
        <v>3500000</v>
      </c>
      <c r="G37" s="145">
        <v>3700000</v>
      </c>
    </row>
    <row r="38" spans="2:11" ht="15" x14ac:dyDescent="0.25">
      <c r="B38" s="146">
        <v>2098</v>
      </c>
      <c r="C38" s="82" t="s">
        <v>206</v>
      </c>
      <c r="D38" s="128">
        <f>2000000+200000</f>
        <v>2200000</v>
      </c>
      <c r="E38" s="20">
        <v>2400000</v>
      </c>
      <c r="F38" s="20">
        <v>2600000</v>
      </c>
      <c r="G38" s="145">
        <v>2800000</v>
      </c>
    </row>
    <row r="39" spans="2:11" ht="15" x14ac:dyDescent="0.25">
      <c r="B39" s="146">
        <v>2010</v>
      </c>
      <c r="C39" s="82" t="s">
        <v>210</v>
      </c>
      <c r="D39" s="128">
        <f>7800000</f>
        <v>7800000</v>
      </c>
      <c r="E39" s="20">
        <v>8000000</v>
      </c>
      <c r="F39" s="20">
        <v>8100000</v>
      </c>
      <c r="G39" s="145">
        <v>8200000</v>
      </c>
      <c r="H39" s="23"/>
    </row>
    <row r="40" spans="2:11" ht="15" x14ac:dyDescent="0.25">
      <c r="B40" s="146">
        <v>2015</v>
      </c>
      <c r="C40" s="82" t="s">
        <v>211</v>
      </c>
      <c r="D40" s="128">
        <f>5900000</f>
        <v>5900000</v>
      </c>
      <c r="E40" s="20">
        <v>6100000</v>
      </c>
      <c r="F40" s="20">
        <v>6200000</v>
      </c>
      <c r="G40" s="145">
        <v>6300000</v>
      </c>
      <c r="H40" s="24"/>
    </row>
    <row r="41" spans="2:11" ht="15" x14ac:dyDescent="0.25">
      <c r="B41" s="146">
        <v>2009</v>
      </c>
      <c r="C41" s="82" t="s">
        <v>212</v>
      </c>
      <c r="D41" s="128">
        <f>480000+50000</f>
        <v>530000</v>
      </c>
      <c r="E41" s="20">
        <v>580000</v>
      </c>
      <c r="F41" s="20">
        <v>630000</v>
      </c>
      <c r="G41" s="145">
        <v>680000</v>
      </c>
      <c r="H41" s="24"/>
      <c r="I41" s="24"/>
      <c r="J41" s="24"/>
      <c r="K41" s="24"/>
    </row>
    <row r="42" spans="2:11" ht="15" x14ac:dyDescent="0.25">
      <c r="B42" s="146">
        <v>2027</v>
      </c>
      <c r="C42" s="82" t="s">
        <v>213</v>
      </c>
      <c r="D42" s="128">
        <f>4115000+250000-15000</f>
        <v>4350000</v>
      </c>
      <c r="E42" s="20">
        <v>4650000</v>
      </c>
      <c r="F42" s="20">
        <f>E42+250000</f>
        <v>4900000</v>
      </c>
      <c r="G42" s="145">
        <f>F42+250000</f>
        <v>5150000</v>
      </c>
      <c r="H42" s="24"/>
    </row>
    <row r="43" spans="2:11" ht="15" x14ac:dyDescent="0.25">
      <c r="B43" s="146">
        <v>2016</v>
      </c>
      <c r="C43" s="82" t="s">
        <v>214</v>
      </c>
      <c r="D43" s="128">
        <f>470000+220000</f>
        <v>690000</v>
      </c>
      <c r="E43" s="20">
        <f>D43+220000</f>
        <v>910000</v>
      </c>
      <c r="F43" s="20">
        <f>E43+220000</f>
        <v>1130000</v>
      </c>
      <c r="G43" s="145">
        <f>F43+220000</f>
        <v>1350000</v>
      </c>
      <c r="H43" s="23"/>
    </row>
    <row r="44" spans="2:11" ht="15" x14ac:dyDescent="0.25">
      <c r="B44" s="146">
        <v>2022</v>
      </c>
      <c r="C44" s="82" t="s">
        <v>215</v>
      </c>
      <c r="D44" s="128">
        <v>7900000</v>
      </c>
      <c r="E44" s="20">
        <f>D44+150000</f>
        <v>8050000</v>
      </c>
      <c r="F44" s="20">
        <f>E44+1200000</f>
        <v>9250000</v>
      </c>
      <c r="G44" s="145">
        <f>F44+120000</f>
        <v>9370000</v>
      </c>
      <c r="H44" s="23"/>
    </row>
    <row r="45" spans="2:11" ht="15" x14ac:dyDescent="0.25">
      <c r="B45" s="146">
        <v>2023</v>
      </c>
      <c r="C45" s="82" t="s">
        <v>216</v>
      </c>
      <c r="D45" s="128">
        <f>11500000</f>
        <v>11500000</v>
      </c>
      <c r="E45" s="20">
        <f>D45+300000</f>
        <v>11800000</v>
      </c>
      <c r="F45" s="20">
        <f>E45+150000</f>
        <v>11950000</v>
      </c>
      <c r="G45" s="145">
        <f>F45+200000</f>
        <v>12150000</v>
      </c>
    </row>
    <row r="46" spans="2:11" ht="15" x14ac:dyDescent="0.25">
      <c r="B46" s="146">
        <v>2024</v>
      </c>
      <c r="C46" s="82" t="s">
        <v>217</v>
      </c>
      <c r="D46" s="128">
        <v>1150000</v>
      </c>
      <c r="E46" s="20">
        <v>1100000</v>
      </c>
      <c r="F46" s="20">
        <v>1100000</v>
      </c>
      <c r="G46" s="145">
        <v>1250000</v>
      </c>
    </row>
    <row r="47" spans="2:11" ht="15" x14ac:dyDescent="0.25">
      <c r="B47" s="146">
        <v>2025</v>
      </c>
      <c r="C47" s="82" t="s">
        <v>207</v>
      </c>
      <c r="D47" s="128">
        <f>340000+10000</f>
        <v>350000</v>
      </c>
      <c r="E47" s="20">
        <v>360000</v>
      </c>
      <c r="F47" s="20">
        <v>370000</v>
      </c>
      <c r="G47" s="145">
        <v>380000</v>
      </c>
    </row>
    <row r="48" spans="2:11" ht="15" x14ac:dyDescent="0.25">
      <c r="B48" s="146">
        <v>2026</v>
      </c>
      <c r="C48" s="82" t="s">
        <v>218</v>
      </c>
      <c r="D48" s="128">
        <f>950000+10000</f>
        <v>960000</v>
      </c>
      <c r="E48" s="20">
        <v>970000</v>
      </c>
      <c r="F48" s="20">
        <v>980000</v>
      </c>
      <c r="G48" s="145">
        <v>990000</v>
      </c>
    </row>
    <row r="49" spans="2:12" ht="15" x14ac:dyDescent="0.25">
      <c r="B49" s="146">
        <v>2029</v>
      </c>
      <c r="C49" s="82" t="s">
        <v>219</v>
      </c>
      <c r="D49" s="128">
        <f>1050000+50000</f>
        <v>1100000</v>
      </c>
      <c r="E49" s="20">
        <v>1150000</v>
      </c>
      <c r="F49" s="20">
        <v>1200000</v>
      </c>
      <c r="G49" s="145">
        <v>1250000</v>
      </c>
    </row>
    <row r="50" spans="2:12" ht="15" x14ac:dyDescent="0.25">
      <c r="B50" s="146">
        <v>2034</v>
      </c>
      <c r="C50" s="82" t="s">
        <v>222</v>
      </c>
      <c r="D50" s="128">
        <v>610000</v>
      </c>
      <c r="E50" s="20">
        <v>620000</v>
      </c>
      <c r="F50" s="20">
        <v>630000</v>
      </c>
      <c r="G50" s="145">
        <v>640000</v>
      </c>
    </row>
    <row r="51" spans="2:12" ht="15" x14ac:dyDescent="0.25">
      <c r="B51" s="146">
        <v>2137</v>
      </c>
      <c r="C51" s="82" t="s">
        <v>263</v>
      </c>
      <c r="D51" s="128">
        <v>10000</v>
      </c>
      <c r="E51" s="20">
        <v>10000</v>
      </c>
      <c r="F51" s="20">
        <v>10000</v>
      </c>
      <c r="G51" s="145">
        <v>10000</v>
      </c>
    </row>
    <row r="52" spans="2:12" ht="15" x14ac:dyDescent="0.25">
      <c r="B52" s="146">
        <v>2099</v>
      </c>
      <c r="C52" s="82" t="s">
        <v>208</v>
      </c>
      <c r="D52" s="128">
        <v>10000</v>
      </c>
      <c r="E52" s="20">
        <v>10000</v>
      </c>
      <c r="F52" s="20">
        <v>10000</v>
      </c>
      <c r="G52" s="145">
        <v>10000</v>
      </c>
    </row>
    <row r="53" spans="2:12" ht="15" x14ac:dyDescent="0.25">
      <c r="B53" s="146">
        <v>2028</v>
      </c>
      <c r="C53" s="82" t="s">
        <v>209</v>
      </c>
      <c r="D53" s="128">
        <f>660000+10000</f>
        <v>670000</v>
      </c>
      <c r="E53" s="20">
        <v>680000</v>
      </c>
      <c r="F53" s="20">
        <v>690000</v>
      </c>
      <c r="G53" s="145">
        <v>700000</v>
      </c>
      <c r="H53" s="23"/>
    </row>
    <row r="54" spans="2:12" ht="15" x14ac:dyDescent="0.25">
      <c r="B54" s="146">
        <v>2040</v>
      </c>
      <c r="C54" s="82" t="s">
        <v>224</v>
      </c>
      <c r="D54" s="128">
        <f>1600000</f>
        <v>1600000</v>
      </c>
      <c r="E54" s="20">
        <v>1800000</v>
      </c>
      <c r="F54" s="20">
        <v>1900000</v>
      </c>
      <c r="G54" s="145">
        <v>2000000</v>
      </c>
    </row>
    <row r="55" spans="2:12" ht="15" x14ac:dyDescent="0.25">
      <c r="B55" s="146">
        <v>3020</v>
      </c>
      <c r="C55" s="82" t="s">
        <v>225</v>
      </c>
      <c r="D55" s="128">
        <f>100000+10000</f>
        <v>110000</v>
      </c>
      <c r="E55" s="20">
        <v>10000</v>
      </c>
      <c r="F55" s="20">
        <v>10000</v>
      </c>
      <c r="G55" s="145">
        <v>10000</v>
      </c>
    </row>
    <row r="56" spans="2:12" ht="15" x14ac:dyDescent="0.25">
      <c r="B56" s="146">
        <v>3020</v>
      </c>
      <c r="C56" s="82" t="s">
        <v>226</v>
      </c>
      <c r="D56" s="128">
        <f>100000+10000</f>
        <v>110000</v>
      </c>
      <c r="E56" s="20">
        <v>10000</v>
      </c>
      <c r="F56" s="20">
        <v>10000</v>
      </c>
      <c r="G56" s="145">
        <v>10000</v>
      </c>
    </row>
    <row r="57" spans="2:12" ht="15.75" thickBot="1" x14ac:dyDescent="0.3">
      <c r="B57" s="146">
        <v>3020</v>
      </c>
      <c r="C57" s="82" t="s">
        <v>227</v>
      </c>
      <c r="D57" s="129">
        <v>10000</v>
      </c>
      <c r="E57" s="41">
        <v>10000</v>
      </c>
      <c r="F57" s="41">
        <v>10000</v>
      </c>
      <c r="G57" s="142">
        <v>10000</v>
      </c>
      <c r="I57" s="45"/>
      <c r="J57" s="45"/>
      <c r="K57" s="45"/>
      <c r="L57" s="45"/>
    </row>
    <row r="58" spans="2:12" ht="13.5" thickBot="1" x14ac:dyDescent="0.25">
      <c r="B58" s="61"/>
      <c r="C58" s="148" t="s">
        <v>191</v>
      </c>
      <c r="D58" s="112">
        <f>SUM(D37:D57)</f>
        <v>50660000</v>
      </c>
      <c r="E58" s="113">
        <f>SUM(E37:E57)</f>
        <v>52520000</v>
      </c>
      <c r="F58" s="116">
        <f>SUM(F37:F57)</f>
        <v>55180000</v>
      </c>
      <c r="G58" s="117">
        <f>SUM(G37:G57)</f>
        <v>56960000</v>
      </c>
    </row>
    <row r="59" spans="2:12" ht="13.5" thickBot="1" x14ac:dyDescent="0.25">
      <c r="C59" s="46"/>
      <c r="D59" s="47"/>
      <c r="E59" s="47"/>
      <c r="F59" s="48"/>
      <c r="G59" s="47"/>
    </row>
    <row r="60" spans="2:12" ht="12.75" customHeight="1" x14ac:dyDescent="0.2">
      <c r="B60" s="283" t="s">
        <v>295</v>
      </c>
      <c r="C60" s="284"/>
      <c r="D60" s="284"/>
      <c r="E60" s="284"/>
      <c r="F60" s="284"/>
      <c r="G60" s="285"/>
    </row>
    <row r="61" spans="2:12" ht="15" x14ac:dyDescent="0.25">
      <c r="B61" s="144">
        <v>2041</v>
      </c>
      <c r="C61" s="65" t="s">
        <v>228</v>
      </c>
      <c r="D61" s="20">
        <f>6900000+200000+150000</f>
        <v>7250000</v>
      </c>
      <c r="E61" s="20">
        <f>D61+150000</f>
        <v>7400000</v>
      </c>
      <c r="F61" s="20">
        <f>E61+150000</f>
        <v>7550000</v>
      </c>
      <c r="G61" s="145">
        <f>F61+150000</f>
        <v>7700000</v>
      </c>
    </row>
    <row r="62" spans="2:12" ht="15" x14ac:dyDescent="0.25">
      <c r="B62" s="144">
        <v>2042</v>
      </c>
      <c r="C62" s="65" t="s">
        <v>229</v>
      </c>
      <c r="D62" s="20">
        <f>6500000-20000</f>
        <v>6480000</v>
      </c>
      <c r="E62" s="20">
        <f>5500000-20000</f>
        <v>5480000</v>
      </c>
      <c r="F62" s="20">
        <f>5500000-20000</f>
        <v>5480000</v>
      </c>
      <c r="G62" s="145">
        <f>1500000-20000</f>
        <v>1480000</v>
      </c>
    </row>
    <row r="63" spans="2:12" ht="15" x14ac:dyDescent="0.25">
      <c r="B63" s="144">
        <v>2044</v>
      </c>
      <c r="C63" s="65" t="s">
        <v>230</v>
      </c>
      <c r="D63" s="20">
        <f>1200000+100000</f>
        <v>1300000</v>
      </c>
      <c r="E63" s="20">
        <f>D63+100000</f>
        <v>1400000</v>
      </c>
      <c r="F63" s="20">
        <f>E63+100000</f>
        <v>1500000</v>
      </c>
      <c r="G63" s="145">
        <f>F63+100000</f>
        <v>1600000</v>
      </c>
    </row>
    <row r="64" spans="2:12" ht="15" x14ac:dyDescent="0.25">
      <c r="B64" s="144">
        <v>2045</v>
      </c>
      <c r="C64" s="65" t="s">
        <v>231</v>
      </c>
      <c r="D64" s="20">
        <f>2200000+50000</f>
        <v>2250000</v>
      </c>
      <c r="E64" s="20">
        <f>D64+50000</f>
        <v>2300000</v>
      </c>
      <c r="F64" s="20">
        <f>E64+50000</f>
        <v>2350000</v>
      </c>
      <c r="G64" s="145">
        <f>F64+50000</f>
        <v>2400000</v>
      </c>
      <c r="J64" s="1">
        <v>2047</v>
      </c>
    </row>
    <row r="65" spans="2:8" ht="15" x14ac:dyDescent="0.25">
      <c r="B65" s="144">
        <v>2046</v>
      </c>
      <c r="C65" s="65" t="s">
        <v>301</v>
      </c>
      <c r="D65" s="20">
        <f>150000+350000-100000</f>
        <v>400000</v>
      </c>
      <c r="E65" s="20">
        <f>150000+400000-100000</f>
        <v>450000</v>
      </c>
      <c r="F65" s="20">
        <f>150000+450000-100000</f>
        <v>500000</v>
      </c>
      <c r="G65" s="145">
        <f>150000+500000-100000</f>
        <v>550000</v>
      </c>
    </row>
    <row r="66" spans="2:8" ht="15" x14ac:dyDescent="0.25">
      <c r="B66" s="144">
        <v>2098</v>
      </c>
      <c r="C66" s="65" t="s">
        <v>336</v>
      </c>
      <c r="D66" s="20">
        <v>100000</v>
      </c>
      <c r="E66" s="20">
        <v>100000</v>
      </c>
      <c r="F66" s="20">
        <v>100000</v>
      </c>
      <c r="G66" s="20">
        <v>100000</v>
      </c>
    </row>
    <row r="67" spans="2:8" ht="15" x14ac:dyDescent="0.25">
      <c r="B67" s="144">
        <v>2047</v>
      </c>
      <c r="C67" s="65" t="s">
        <v>232</v>
      </c>
      <c r="D67" s="20">
        <f>850000+50000</f>
        <v>900000</v>
      </c>
      <c r="E67" s="20">
        <f>D67+100000</f>
        <v>1000000</v>
      </c>
      <c r="F67" s="20">
        <f>E67+100000</f>
        <v>1100000</v>
      </c>
      <c r="G67" s="145">
        <f>F67+100000</f>
        <v>1200000</v>
      </c>
    </row>
    <row r="68" spans="2:8" ht="15" x14ac:dyDescent="0.25">
      <c r="B68" s="171">
        <v>3012</v>
      </c>
      <c r="C68" s="71" t="s">
        <v>233</v>
      </c>
      <c r="D68" s="41">
        <v>200000</v>
      </c>
      <c r="E68" s="41">
        <v>200000</v>
      </c>
      <c r="F68" s="41">
        <v>200000</v>
      </c>
      <c r="G68" s="142">
        <v>200000</v>
      </c>
    </row>
    <row r="69" spans="2:8" ht="15" x14ac:dyDescent="0.25">
      <c r="B69" s="73">
        <v>3148</v>
      </c>
      <c r="C69" s="82" t="s">
        <v>339</v>
      </c>
      <c r="D69" s="42">
        <v>20000</v>
      </c>
      <c r="E69" s="42">
        <v>20000</v>
      </c>
      <c r="F69" s="42">
        <v>20000</v>
      </c>
      <c r="G69" s="42">
        <v>20000</v>
      </c>
    </row>
    <row r="70" spans="2:8" ht="15.75" thickBot="1" x14ac:dyDescent="0.3">
      <c r="B70" s="58"/>
      <c r="C70" s="68" t="s">
        <v>191</v>
      </c>
      <c r="D70" s="175">
        <f>SUM(D61:D69)</f>
        <v>18900000</v>
      </c>
      <c r="E70" s="176">
        <f>SUM(E61:E69)</f>
        <v>18350000</v>
      </c>
      <c r="F70" s="176">
        <f>SUM(F61:F69)</f>
        <v>18800000</v>
      </c>
      <c r="G70" s="177">
        <f>SUM(G61:G69)</f>
        <v>15250000</v>
      </c>
    </row>
    <row r="71" spans="2:8" ht="15" x14ac:dyDescent="0.25">
      <c r="B71" s="58"/>
      <c r="C71" s="68"/>
      <c r="D71" s="24"/>
      <c r="E71" s="24"/>
      <c r="F71" s="32"/>
      <c r="G71" s="152"/>
    </row>
    <row r="72" spans="2:8" x14ac:dyDescent="0.2">
      <c r="B72" s="280" t="s">
        <v>296</v>
      </c>
      <c r="C72" s="281"/>
      <c r="D72" s="281"/>
      <c r="E72" s="281"/>
      <c r="F72" s="281"/>
      <c r="G72" s="282"/>
    </row>
    <row r="73" spans="2:8" ht="15" x14ac:dyDescent="0.25">
      <c r="B73" s="144">
        <v>2048</v>
      </c>
      <c r="C73" s="65" t="s">
        <v>234</v>
      </c>
      <c r="D73" s="20">
        <f>1200000+50000</f>
        <v>1250000</v>
      </c>
      <c r="E73" s="20">
        <f>D73+50000</f>
        <v>1300000</v>
      </c>
      <c r="F73" s="20">
        <f>E73+50000</f>
        <v>1350000</v>
      </c>
      <c r="G73" s="145">
        <f>F73+50000</f>
        <v>1400000</v>
      </c>
    </row>
    <row r="74" spans="2:8" ht="15" x14ac:dyDescent="0.25">
      <c r="B74" s="144">
        <v>2050</v>
      </c>
      <c r="C74" s="65" t="s">
        <v>235</v>
      </c>
      <c r="D74" s="20">
        <v>6000</v>
      </c>
      <c r="E74" s="20">
        <v>6000</v>
      </c>
      <c r="F74" s="20">
        <v>6000</v>
      </c>
      <c r="G74" s="145">
        <v>6000</v>
      </c>
    </row>
    <row r="75" spans="2:8" ht="15" x14ac:dyDescent="0.25">
      <c r="B75" s="144">
        <v>2051</v>
      </c>
      <c r="C75" s="65" t="s">
        <v>236</v>
      </c>
      <c r="D75" s="20">
        <f>2800000+150000</f>
        <v>2950000</v>
      </c>
      <c r="E75" s="20">
        <f>D75+150000</f>
        <v>3100000</v>
      </c>
      <c r="F75" s="20">
        <f>E75+150000</f>
        <v>3250000</v>
      </c>
      <c r="G75" s="145">
        <f>F75+150000</f>
        <v>3400000</v>
      </c>
    </row>
    <row r="76" spans="2:8" ht="15" x14ac:dyDescent="0.25">
      <c r="B76" s="144">
        <v>2053</v>
      </c>
      <c r="C76" s="65" t="s">
        <v>289</v>
      </c>
      <c r="D76" s="20">
        <f>30000+20000</f>
        <v>50000</v>
      </c>
      <c r="E76" s="20">
        <f>D76+10000</f>
        <v>60000</v>
      </c>
      <c r="F76" s="20">
        <f>E76+10000</f>
        <v>70000</v>
      </c>
      <c r="G76" s="145">
        <f>F76+10000</f>
        <v>80000</v>
      </c>
    </row>
    <row r="77" spans="2:8" ht="15" x14ac:dyDescent="0.25">
      <c r="B77" s="144">
        <v>2054</v>
      </c>
      <c r="C77" s="67" t="s">
        <v>237</v>
      </c>
      <c r="D77" s="20">
        <v>8000</v>
      </c>
      <c r="E77" s="20">
        <v>8000</v>
      </c>
      <c r="F77" s="20">
        <v>8000</v>
      </c>
      <c r="G77" s="145">
        <v>8000</v>
      </c>
    </row>
    <row r="78" spans="2:8" ht="15" x14ac:dyDescent="0.25">
      <c r="B78" s="144">
        <v>2052</v>
      </c>
      <c r="C78" s="65" t="s">
        <v>238</v>
      </c>
      <c r="D78" s="20">
        <v>200000</v>
      </c>
      <c r="E78" s="20">
        <v>120000</v>
      </c>
      <c r="F78" s="20">
        <v>120000</v>
      </c>
      <c r="G78" s="145">
        <v>150000</v>
      </c>
    </row>
    <row r="79" spans="2:8" ht="15.75" thickBot="1" x14ac:dyDescent="0.3">
      <c r="B79" s="144">
        <v>3028</v>
      </c>
      <c r="C79" s="65" t="s">
        <v>239</v>
      </c>
      <c r="D79" s="41">
        <v>50000</v>
      </c>
      <c r="E79" s="41">
        <v>50000</v>
      </c>
      <c r="F79" s="41">
        <v>50000</v>
      </c>
      <c r="G79" s="142">
        <v>50000</v>
      </c>
    </row>
    <row r="80" spans="2:8" ht="15.75" thickBot="1" x14ac:dyDescent="0.3">
      <c r="B80" s="58"/>
      <c r="C80" s="68" t="s">
        <v>191</v>
      </c>
      <c r="D80" s="108">
        <f>SUM(D73:D79)</f>
        <v>4514000</v>
      </c>
      <c r="E80" s="109">
        <f>SUM(E73:E79)</f>
        <v>4644000</v>
      </c>
      <c r="F80" s="109">
        <f>SUM(F73:F79)</f>
        <v>4854000</v>
      </c>
      <c r="G80" s="111">
        <f>SUM(G73:G79)</f>
        <v>5094000</v>
      </c>
      <c r="H80" s="23"/>
    </row>
    <row r="81" spans="2:10" x14ac:dyDescent="0.2">
      <c r="B81" s="58"/>
      <c r="F81" s="1"/>
      <c r="G81" s="59"/>
    </row>
    <row r="82" spans="2:10" x14ac:dyDescent="0.2">
      <c r="B82" s="280" t="s">
        <v>297</v>
      </c>
      <c r="C82" s="281"/>
      <c r="D82" s="281"/>
      <c r="E82" s="281"/>
      <c r="F82" s="281"/>
      <c r="G82" s="282"/>
    </row>
    <row r="83" spans="2:10" ht="15" x14ac:dyDescent="0.25">
      <c r="B83" s="144">
        <v>2057</v>
      </c>
      <c r="C83" s="65" t="s">
        <v>240</v>
      </c>
      <c r="D83" s="20">
        <f>1500000+40000</f>
        <v>1540000</v>
      </c>
      <c r="E83" s="20">
        <f>D83+40000</f>
        <v>1580000</v>
      </c>
      <c r="F83" s="20">
        <f>E83+40000</f>
        <v>1620000</v>
      </c>
      <c r="G83" s="145">
        <f>F83+40000</f>
        <v>1660000</v>
      </c>
    </row>
    <row r="84" spans="2:10" ht="15" x14ac:dyDescent="0.25">
      <c r="B84" s="144">
        <v>2093</v>
      </c>
      <c r="C84" s="65" t="s">
        <v>241</v>
      </c>
      <c r="D84" s="20">
        <f>250000+30000</f>
        <v>280000</v>
      </c>
      <c r="E84" s="20">
        <f>D84+30000</f>
        <v>310000</v>
      </c>
      <c r="F84" s="20">
        <f>E84+30000</f>
        <v>340000</v>
      </c>
      <c r="G84" s="145">
        <f>F84+30000</f>
        <v>370000</v>
      </c>
    </row>
    <row r="85" spans="2:10" ht="15" x14ac:dyDescent="0.25">
      <c r="B85" s="144">
        <v>2059</v>
      </c>
      <c r="C85" s="65" t="s">
        <v>242</v>
      </c>
      <c r="D85" s="20">
        <v>50000</v>
      </c>
      <c r="E85" s="20">
        <v>50000</v>
      </c>
      <c r="F85" s="20">
        <v>50000</v>
      </c>
      <c r="G85" s="145">
        <v>50000</v>
      </c>
    </row>
    <row r="86" spans="2:10" ht="15" x14ac:dyDescent="0.25">
      <c r="B86" s="144">
        <v>2060</v>
      </c>
      <c r="C86" s="65" t="s">
        <v>273</v>
      </c>
      <c r="D86" s="20">
        <f>5000000+780000+100000</f>
        <v>5880000</v>
      </c>
      <c r="E86" s="20">
        <f>D86+100000</f>
        <v>5980000</v>
      </c>
      <c r="F86" s="20">
        <f>E86+100000</f>
        <v>6080000</v>
      </c>
      <c r="G86" s="145">
        <f>F86+100000</f>
        <v>6180000</v>
      </c>
    </row>
    <row r="87" spans="2:10" ht="15.75" thickBot="1" x14ac:dyDescent="0.3">
      <c r="B87" s="153">
        <v>6</v>
      </c>
      <c r="C87" s="154" t="s">
        <v>40</v>
      </c>
      <c r="D87" s="155">
        <f>2300000+500000+300000</f>
        <v>3100000</v>
      </c>
      <c r="E87" s="155">
        <f>D87+200000</f>
        <v>3300000</v>
      </c>
      <c r="F87" s="155">
        <f>E87+200000</f>
        <v>3500000</v>
      </c>
      <c r="G87" s="156">
        <f>F87+200000</f>
        <v>3700000</v>
      </c>
      <c r="J87" s="1">
        <v>2101</v>
      </c>
    </row>
    <row r="88" spans="2:10" ht="13.5" thickBot="1" x14ac:dyDescent="0.25">
      <c r="C88" s="68" t="s">
        <v>191</v>
      </c>
      <c r="D88" s="149">
        <f>SUM(D83:D87)</f>
        <v>10850000</v>
      </c>
      <c r="E88" s="150">
        <f>SUM(E83:E87)</f>
        <v>11220000</v>
      </c>
      <c r="F88" s="150">
        <f>SUM(F83:F87)</f>
        <v>11590000</v>
      </c>
      <c r="G88" s="151">
        <f>SUM(G83:G87)</f>
        <v>11960000</v>
      </c>
    </row>
    <row r="89" spans="2:10" ht="13.5" thickBot="1" x14ac:dyDescent="0.25"/>
    <row r="90" spans="2:10" ht="12.75" customHeight="1" x14ac:dyDescent="0.2">
      <c r="B90" s="283" t="s">
        <v>342</v>
      </c>
      <c r="C90" s="284"/>
      <c r="D90" s="284"/>
      <c r="E90" s="284"/>
      <c r="F90" s="284"/>
      <c r="G90" s="285"/>
    </row>
    <row r="91" spans="2:10" ht="15" x14ac:dyDescent="0.25">
      <c r="B91" s="158">
        <v>2061</v>
      </c>
      <c r="C91" s="70" t="s">
        <v>243</v>
      </c>
      <c r="D91" s="43">
        <v>15300000</v>
      </c>
      <c r="E91" s="43">
        <v>15400000</v>
      </c>
      <c r="F91" s="44">
        <v>15500000</v>
      </c>
      <c r="G91" s="159">
        <v>15650000</v>
      </c>
      <c r="H91" s="23"/>
    </row>
    <row r="92" spans="2:10" ht="15" x14ac:dyDescent="0.25">
      <c r="B92" s="158">
        <v>2139</v>
      </c>
      <c r="C92" s="70" t="s">
        <v>288</v>
      </c>
      <c r="D92" s="43">
        <v>5000</v>
      </c>
      <c r="E92" s="43">
        <v>5000</v>
      </c>
      <c r="F92" s="43">
        <v>5000</v>
      </c>
      <c r="G92" s="159">
        <v>5000</v>
      </c>
      <c r="H92" s="23"/>
    </row>
    <row r="93" spans="2:10" ht="15" x14ac:dyDescent="0.25">
      <c r="B93" s="144">
        <v>2063</v>
      </c>
      <c r="C93" s="65" t="s">
        <v>244</v>
      </c>
      <c r="D93" s="20">
        <v>150000</v>
      </c>
      <c r="E93" s="20">
        <v>150000</v>
      </c>
      <c r="F93" s="20">
        <v>150000</v>
      </c>
      <c r="G93" s="145">
        <v>150000</v>
      </c>
    </row>
    <row r="94" spans="2:10" ht="15" x14ac:dyDescent="0.25">
      <c r="B94" s="144">
        <v>2065</v>
      </c>
      <c r="C94" s="65" t="s">
        <v>245</v>
      </c>
      <c r="D94" s="20">
        <v>3400000</v>
      </c>
      <c r="E94" s="20">
        <v>3700000</v>
      </c>
      <c r="F94" s="31">
        <v>4000000</v>
      </c>
      <c r="G94" s="145">
        <v>4300000</v>
      </c>
    </row>
    <row r="95" spans="2:10" ht="15" x14ac:dyDescent="0.25">
      <c r="B95" s="144">
        <v>2066</v>
      </c>
      <c r="C95" s="65" t="s">
        <v>246</v>
      </c>
      <c r="D95" s="20">
        <v>1000000</v>
      </c>
      <c r="E95" s="20">
        <v>500000</v>
      </c>
      <c r="F95" s="31">
        <v>600000</v>
      </c>
      <c r="G95" s="145">
        <v>400000</v>
      </c>
    </row>
    <row r="96" spans="2:10" ht="15" x14ac:dyDescent="0.25">
      <c r="B96" s="144">
        <v>2067</v>
      </c>
      <c r="C96" s="65" t="s">
        <v>247</v>
      </c>
      <c r="D96" s="20">
        <f>5200000-250000</f>
        <v>4950000</v>
      </c>
      <c r="E96" s="20">
        <v>6500000</v>
      </c>
      <c r="F96" s="31">
        <v>7500000</v>
      </c>
      <c r="G96" s="145">
        <v>8200000</v>
      </c>
    </row>
    <row r="97" spans="2:10" ht="15" x14ac:dyDescent="0.25">
      <c r="B97" s="160">
        <v>2071</v>
      </c>
      <c r="C97" s="71" t="s">
        <v>248</v>
      </c>
      <c r="D97" s="41">
        <v>1500000</v>
      </c>
      <c r="E97" s="41">
        <v>1700000</v>
      </c>
      <c r="F97" s="81">
        <v>1850000</v>
      </c>
      <c r="G97" s="142">
        <v>2000000</v>
      </c>
    </row>
    <row r="98" spans="2:10" ht="15" x14ac:dyDescent="0.25">
      <c r="B98" s="147">
        <v>2141</v>
      </c>
      <c r="C98" s="73" t="s">
        <v>305</v>
      </c>
      <c r="D98" s="42">
        <v>200000</v>
      </c>
      <c r="E98" s="42">
        <f>D98+10000</f>
        <v>210000</v>
      </c>
      <c r="F98" s="42">
        <f>E98+10000</f>
        <v>220000</v>
      </c>
      <c r="G98" s="161">
        <f>F98+10000</f>
        <v>230000</v>
      </c>
    </row>
    <row r="99" spans="2:10" ht="15" x14ac:dyDescent="0.25">
      <c r="B99" s="147">
        <v>2142</v>
      </c>
      <c r="C99" s="73" t="s">
        <v>306</v>
      </c>
      <c r="D99" s="42">
        <v>10000</v>
      </c>
      <c r="E99" s="42">
        <f t="shared" ref="E99:G100" si="1">D99+1000</f>
        <v>11000</v>
      </c>
      <c r="F99" s="42">
        <f t="shared" si="1"/>
        <v>12000</v>
      </c>
      <c r="G99" s="161">
        <f t="shared" si="1"/>
        <v>13000</v>
      </c>
    </row>
    <row r="100" spans="2:10" ht="15" x14ac:dyDescent="0.25">
      <c r="B100" s="147">
        <v>3043</v>
      </c>
      <c r="C100" s="73" t="s">
        <v>307</v>
      </c>
      <c r="D100" s="42">
        <v>10000</v>
      </c>
      <c r="E100" s="42">
        <f t="shared" si="1"/>
        <v>11000</v>
      </c>
      <c r="F100" s="42">
        <f t="shared" si="1"/>
        <v>12000</v>
      </c>
      <c r="G100" s="161">
        <f t="shared" si="1"/>
        <v>13000</v>
      </c>
    </row>
    <row r="101" spans="2:10" ht="15" x14ac:dyDescent="0.25">
      <c r="B101" s="147">
        <v>2165</v>
      </c>
      <c r="C101" s="73" t="s">
        <v>308</v>
      </c>
      <c r="D101" s="42">
        <v>30000</v>
      </c>
      <c r="E101" s="42">
        <f t="shared" ref="E101:G102" si="2">D101+5000</f>
        <v>35000</v>
      </c>
      <c r="F101" s="42">
        <f t="shared" si="2"/>
        <v>40000</v>
      </c>
      <c r="G101" s="161">
        <f t="shared" si="2"/>
        <v>45000</v>
      </c>
    </row>
    <row r="102" spans="2:10" ht="15" x14ac:dyDescent="0.25">
      <c r="B102" s="147">
        <v>2166</v>
      </c>
      <c r="C102" s="82" t="s">
        <v>318</v>
      </c>
      <c r="D102" s="42">
        <v>150000</v>
      </c>
      <c r="E102" s="42">
        <f t="shared" si="2"/>
        <v>155000</v>
      </c>
      <c r="F102" s="42">
        <f t="shared" si="2"/>
        <v>160000</v>
      </c>
      <c r="G102" s="161">
        <f t="shared" si="2"/>
        <v>165000</v>
      </c>
    </row>
    <row r="103" spans="2:10" ht="15" x14ac:dyDescent="0.25">
      <c r="B103" s="147">
        <v>3044</v>
      </c>
      <c r="C103" s="73" t="s">
        <v>300</v>
      </c>
      <c r="D103" s="119">
        <v>8000</v>
      </c>
      <c r="E103" s="119">
        <f>D103+1000</f>
        <v>9000</v>
      </c>
      <c r="F103" s="119">
        <f>E103+1000</f>
        <v>10000</v>
      </c>
      <c r="G103" s="162">
        <f>F103+1000</f>
        <v>11000</v>
      </c>
    </row>
    <row r="104" spans="2:10" ht="15" x14ac:dyDescent="0.25">
      <c r="B104" s="144">
        <v>2077</v>
      </c>
      <c r="C104" s="66" t="s">
        <v>250</v>
      </c>
      <c r="D104" s="20">
        <v>34000</v>
      </c>
      <c r="E104" s="20">
        <v>30000</v>
      </c>
      <c r="F104" s="20">
        <v>30000</v>
      </c>
      <c r="G104" s="145">
        <f>30000+59000</f>
        <v>89000</v>
      </c>
    </row>
    <row r="105" spans="2:10" ht="15" x14ac:dyDescent="0.25">
      <c r="B105" s="144">
        <v>2079</v>
      </c>
      <c r="C105" s="66" t="s">
        <v>302</v>
      </c>
      <c r="D105" s="20">
        <f>1100000-30000</f>
        <v>1070000</v>
      </c>
      <c r="E105" s="20">
        <f>D105-30000</f>
        <v>1040000</v>
      </c>
      <c r="F105" s="20">
        <f>E105-30000</f>
        <v>1010000</v>
      </c>
      <c r="G105" s="145">
        <f>F105-30000</f>
        <v>980000</v>
      </c>
    </row>
    <row r="106" spans="2:10" ht="15" x14ac:dyDescent="0.25">
      <c r="B106" s="144">
        <v>2080</v>
      </c>
      <c r="C106" s="66" t="s">
        <v>252</v>
      </c>
      <c r="D106" s="20">
        <v>100000</v>
      </c>
      <c r="E106" s="20">
        <v>100000</v>
      </c>
      <c r="F106" s="20">
        <f>100000+32000</f>
        <v>132000</v>
      </c>
      <c r="G106" s="145">
        <v>100000</v>
      </c>
    </row>
    <row r="107" spans="2:10" ht="15" x14ac:dyDescent="0.25">
      <c r="B107" s="144">
        <v>2081</v>
      </c>
      <c r="C107" s="66" t="s">
        <v>253</v>
      </c>
      <c r="D107" s="20">
        <v>15000</v>
      </c>
      <c r="E107" s="20">
        <v>15000</v>
      </c>
      <c r="F107" s="20">
        <v>15000</v>
      </c>
      <c r="G107" s="145">
        <v>15000</v>
      </c>
      <c r="J107" s="24"/>
    </row>
    <row r="108" spans="2:10" ht="15" x14ac:dyDescent="0.25">
      <c r="B108" s="144">
        <v>2083</v>
      </c>
      <c r="C108" s="65" t="s">
        <v>303</v>
      </c>
      <c r="D108" s="20">
        <v>5000</v>
      </c>
      <c r="E108" s="20">
        <v>5000</v>
      </c>
      <c r="F108" s="20">
        <v>5000</v>
      </c>
      <c r="G108" s="145">
        <v>5000</v>
      </c>
      <c r="H108" s="23"/>
    </row>
    <row r="109" spans="2:10" ht="15" x14ac:dyDescent="0.25">
      <c r="B109" s="160">
        <v>2102</v>
      </c>
      <c r="C109" s="72" t="s">
        <v>254</v>
      </c>
      <c r="D109" s="41">
        <v>75000</v>
      </c>
      <c r="E109" s="41">
        <f>50000+26000</f>
        <v>76000</v>
      </c>
      <c r="F109" s="41">
        <v>30000</v>
      </c>
      <c r="G109" s="142">
        <v>15000</v>
      </c>
      <c r="H109" s="40"/>
    </row>
    <row r="110" spans="2:10" ht="15" x14ac:dyDescent="0.25">
      <c r="B110" s="163">
        <v>3013</v>
      </c>
      <c r="C110" s="73" t="s">
        <v>298</v>
      </c>
      <c r="D110" s="42">
        <f>50000+44000</f>
        <v>94000</v>
      </c>
      <c r="E110" s="42">
        <v>50000</v>
      </c>
      <c r="F110" s="42">
        <v>20000</v>
      </c>
      <c r="G110" s="161">
        <v>20000</v>
      </c>
      <c r="H110" s="40"/>
    </row>
    <row r="111" spans="2:10" ht="15" x14ac:dyDescent="0.25">
      <c r="B111" s="144">
        <v>2073</v>
      </c>
      <c r="C111" s="66" t="s">
        <v>249</v>
      </c>
      <c r="D111" s="20">
        <v>110000</v>
      </c>
      <c r="E111" s="20">
        <v>110000</v>
      </c>
      <c r="F111" s="20">
        <v>110000</v>
      </c>
      <c r="G111" s="145">
        <v>110000</v>
      </c>
    </row>
    <row r="112" spans="2:10" ht="15.75" thickBot="1" x14ac:dyDescent="0.3">
      <c r="B112" s="144">
        <v>2078</v>
      </c>
      <c r="C112" s="66" t="s">
        <v>251</v>
      </c>
      <c r="D112" s="41">
        <v>431000</v>
      </c>
      <c r="E112" s="41">
        <v>440000</v>
      </c>
      <c r="F112" s="41">
        <v>450000</v>
      </c>
      <c r="G112" s="142">
        <v>460000</v>
      </c>
    </row>
    <row r="113" spans="2:8" ht="13.5" thickBot="1" x14ac:dyDescent="0.25">
      <c r="B113" s="61"/>
      <c r="C113" s="148" t="s">
        <v>191</v>
      </c>
      <c r="D113" s="112">
        <f>SUM(D91:D112)</f>
        <v>28647000</v>
      </c>
      <c r="E113" s="113">
        <f>SUM(E91:E112)</f>
        <v>30252000</v>
      </c>
      <c r="F113" s="113">
        <f>SUM(F91:F112)</f>
        <v>31861000</v>
      </c>
      <c r="G113" s="115">
        <f>SUM(G91:G112)</f>
        <v>32976000</v>
      </c>
    </row>
    <row r="114" spans="2:8" ht="13.5" thickBot="1" x14ac:dyDescent="0.25">
      <c r="C114" s="68"/>
      <c r="D114" s="157"/>
      <c r="E114" s="157"/>
      <c r="F114" s="157"/>
      <c r="G114" s="157"/>
    </row>
    <row r="115" spans="2:8" ht="12.75" customHeight="1" x14ac:dyDescent="0.2">
      <c r="B115" s="274" t="s">
        <v>315</v>
      </c>
      <c r="C115" s="275"/>
      <c r="D115" s="275"/>
      <c r="E115" s="275"/>
      <c r="F115" s="275"/>
      <c r="G115" s="276"/>
    </row>
    <row r="116" spans="2:8" ht="15" x14ac:dyDescent="0.25">
      <c r="B116" s="144">
        <v>2031</v>
      </c>
      <c r="C116" s="65" t="s">
        <v>220</v>
      </c>
      <c r="D116" s="20">
        <f>1270000+35000</f>
        <v>1305000</v>
      </c>
      <c r="E116" s="20">
        <f>D116+10000</f>
        <v>1315000</v>
      </c>
      <c r="F116" s="20">
        <f>E116+10000</f>
        <v>1325000</v>
      </c>
      <c r="G116" s="145">
        <f>F116+10000</f>
        <v>1335000</v>
      </c>
    </row>
    <row r="117" spans="2:8" ht="15" x14ac:dyDescent="0.25">
      <c r="B117" s="144">
        <v>2018</v>
      </c>
      <c r="C117" s="65" t="s">
        <v>255</v>
      </c>
      <c r="D117" s="20">
        <f>700000+20000</f>
        <v>720000</v>
      </c>
      <c r="E117" s="20">
        <f>D117+30000</f>
        <v>750000</v>
      </c>
      <c r="F117" s="20">
        <f>E117+30000</f>
        <v>780000</v>
      </c>
      <c r="G117" s="145">
        <f>F117+30000</f>
        <v>810000</v>
      </c>
    </row>
    <row r="118" spans="2:8" ht="15" x14ac:dyDescent="0.25">
      <c r="B118" s="144">
        <v>2019</v>
      </c>
      <c r="C118" s="65" t="s">
        <v>203</v>
      </c>
      <c r="D118" s="20">
        <f>3400000+200000-600000</f>
        <v>3000000</v>
      </c>
      <c r="E118" s="20">
        <f>D118+100000</f>
        <v>3100000</v>
      </c>
      <c r="F118" s="20">
        <f>E118+100000</f>
        <v>3200000</v>
      </c>
      <c r="G118" s="145">
        <f>F118+100000</f>
        <v>3300000</v>
      </c>
    </row>
    <row r="119" spans="2:8" ht="15" x14ac:dyDescent="0.25">
      <c r="B119" s="144">
        <v>2097</v>
      </c>
      <c r="C119" s="69" t="s">
        <v>299</v>
      </c>
      <c r="D119" s="20">
        <f>260000</f>
        <v>260000</v>
      </c>
      <c r="E119" s="20">
        <v>200000</v>
      </c>
      <c r="F119" s="20">
        <v>200000</v>
      </c>
      <c r="G119" s="145">
        <v>250000</v>
      </c>
    </row>
    <row r="120" spans="2:8" ht="15" x14ac:dyDescent="0.25">
      <c r="B120" s="144">
        <v>2033</v>
      </c>
      <c r="C120" s="65" t="s">
        <v>221</v>
      </c>
      <c r="D120" s="20">
        <f>1200000</f>
        <v>1200000</v>
      </c>
      <c r="E120" s="20">
        <f>D120+10000</f>
        <v>1210000</v>
      </c>
      <c r="F120" s="20">
        <f>E120+10000</f>
        <v>1220000</v>
      </c>
      <c r="G120" s="145">
        <f>F120+10000</f>
        <v>1230000</v>
      </c>
    </row>
    <row r="121" spans="2:8" ht="15" x14ac:dyDescent="0.25">
      <c r="B121" s="141">
        <v>3147</v>
      </c>
      <c r="C121" s="66" t="s">
        <v>331</v>
      </c>
      <c r="D121" s="41">
        <v>1000000</v>
      </c>
      <c r="E121" s="41">
        <v>1000000</v>
      </c>
      <c r="F121" s="41">
        <v>1000000</v>
      </c>
      <c r="G121" s="142">
        <v>1000000</v>
      </c>
    </row>
    <row r="122" spans="2:8" ht="15.75" thickBot="1" x14ac:dyDescent="0.3">
      <c r="B122" s="144">
        <v>2094</v>
      </c>
      <c r="C122" s="65" t="s">
        <v>223</v>
      </c>
      <c r="D122" s="41">
        <f>172000</f>
        <v>172000</v>
      </c>
      <c r="E122" s="41">
        <f>172000</f>
        <v>172000</v>
      </c>
      <c r="F122" s="41">
        <f>172000</f>
        <v>172000</v>
      </c>
      <c r="G122" s="142">
        <f>172000</f>
        <v>172000</v>
      </c>
    </row>
    <row r="123" spans="2:8" ht="13.5" thickBot="1" x14ac:dyDescent="0.25">
      <c r="B123" s="58"/>
      <c r="C123" s="68" t="s">
        <v>191</v>
      </c>
      <c r="D123" s="112">
        <f>SUM(D116:D122)</f>
        <v>7657000</v>
      </c>
      <c r="E123" s="120">
        <f>SUM(E116:E122)</f>
        <v>7747000</v>
      </c>
      <c r="F123" s="121">
        <f>SUM(F116:F122)</f>
        <v>7897000</v>
      </c>
      <c r="G123" s="117">
        <f>SUM(G116:G122)</f>
        <v>8097000</v>
      </c>
      <c r="H123" s="23"/>
    </row>
    <row r="124" spans="2:8" ht="15.75" thickBot="1" x14ac:dyDescent="0.3">
      <c r="B124" s="164"/>
      <c r="C124" s="26"/>
      <c r="D124" s="27"/>
      <c r="E124" s="27"/>
      <c r="F124" s="33"/>
      <c r="G124" s="165"/>
    </row>
    <row r="125" spans="2:8" ht="13.5" thickBot="1" x14ac:dyDescent="0.25">
      <c r="B125" s="58"/>
      <c r="D125" s="23"/>
      <c r="E125" s="23"/>
      <c r="F125" s="166"/>
      <c r="G125" s="167"/>
    </row>
    <row r="126" spans="2:8" ht="12.75" customHeight="1" x14ac:dyDescent="0.2">
      <c r="B126" s="277" t="s">
        <v>62</v>
      </c>
      <c r="C126" s="278"/>
      <c r="D126" s="278"/>
      <c r="E126" s="278"/>
      <c r="F126" s="278"/>
      <c r="G126" s="279"/>
    </row>
    <row r="127" spans="2:8" ht="15" x14ac:dyDescent="0.25">
      <c r="B127" s="141">
        <v>2095</v>
      </c>
      <c r="C127" s="66" t="s">
        <v>258</v>
      </c>
      <c r="D127" s="20">
        <v>400000</v>
      </c>
      <c r="E127" s="20">
        <v>420000</v>
      </c>
      <c r="F127" s="20">
        <v>460000</v>
      </c>
      <c r="G127" s="145">
        <v>500000</v>
      </c>
    </row>
    <row r="128" spans="2:8" ht="15" x14ac:dyDescent="0.25">
      <c r="B128" s="183" t="s">
        <v>346</v>
      </c>
      <c r="C128" s="66" t="s">
        <v>259</v>
      </c>
      <c r="D128" s="20">
        <v>8500000</v>
      </c>
      <c r="E128" s="20">
        <v>9000000</v>
      </c>
      <c r="F128" s="20">
        <v>9500000</v>
      </c>
      <c r="G128" s="145">
        <v>10000000</v>
      </c>
    </row>
    <row r="129" spans="2:10" ht="15" x14ac:dyDescent="0.25">
      <c r="B129" s="183" t="s">
        <v>347</v>
      </c>
      <c r="C129" s="66" t="s">
        <v>260</v>
      </c>
      <c r="D129" s="20">
        <v>1500000</v>
      </c>
      <c r="E129" s="20">
        <v>1980000</v>
      </c>
      <c r="F129" s="20">
        <f>2300000</f>
        <v>2300000</v>
      </c>
      <c r="G129" s="145">
        <v>2350000</v>
      </c>
    </row>
    <row r="130" spans="2:10" ht="15" x14ac:dyDescent="0.25">
      <c r="B130" s="141">
        <v>9999</v>
      </c>
      <c r="C130" s="66" t="s">
        <v>261</v>
      </c>
      <c r="D130" s="20">
        <f>D132-D127-D128-D129</f>
        <v>20000000</v>
      </c>
      <c r="E130" s="20">
        <f>E132-E127-E128-E129</f>
        <v>19200000</v>
      </c>
      <c r="F130" s="20">
        <f>F132-F127-F128-F129</f>
        <v>20440000</v>
      </c>
      <c r="G130" s="145">
        <f>G132-G127-G128-G129</f>
        <v>19650000</v>
      </c>
    </row>
    <row r="131" spans="2:10" ht="15.75" thickBot="1" x14ac:dyDescent="0.3">
      <c r="B131" s="58"/>
      <c r="C131" s="168"/>
      <c r="D131" s="41">
        <f>SUM(D130+D127)</f>
        <v>20400000</v>
      </c>
      <c r="E131" s="41">
        <f>SUM(E130+E127)</f>
        <v>19620000</v>
      </c>
      <c r="F131" s="41">
        <f>SUM(F130+F127)</f>
        <v>20900000</v>
      </c>
      <c r="G131" s="142">
        <f>SUM(G130+G127)</f>
        <v>20150000</v>
      </c>
    </row>
    <row r="132" spans="2:10" ht="15.75" thickBot="1" x14ac:dyDescent="0.3">
      <c r="B132" s="58"/>
      <c r="C132" s="24"/>
      <c r="D132" s="112">
        <v>30400000</v>
      </c>
      <c r="E132" s="113">
        <v>30600000</v>
      </c>
      <c r="F132" s="113">
        <v>32700000</v>
      </c>
      <c r="G132" s="115">
        <v>32500000</v>
      </c>
      <c r="H132" s="40"/>
    </row>
    <row r="133" spans="2:10" ht="15.75" thickBot="1" x14ac:dyDescent="0.3">
      <c r="B133" s="164"/>
      <c r="C133" s="26"/>
      <c r="D133" s="27"/>
      <c r="E133" s="27"/>
      <c r="F133" s="33"/>
      <c r="G133" s="165"/>
    </row>
    <row r="134" spans="2:10" ht="13.5" thickBot="1" x14ac:dyDescent="0.25">
      <c r="B134" s="58"/>
      <c r="G134" s="59"/>
    </row>
    <row r="135" spans="2:10" x14ac:dyDescent="0.2">
      <c r="B135" s="277" t="s">
        <v>316</v>
      </c>
      <c r="C135" s="278"/>
      <c r="D135" s="278"/>
      <c r="E135" s="278"/>
      <c r="F135" s="278"/>
      <c r="G135" s="279"/>
    </row>
    <row r="136" spans="2:10" ht="15" x14ac:dyDescent="0.25">
      <c r="B136" s="141">
        <v>2084</v>
      </c>
      <c r="C136" s="65" t="s">
        <v>343</v>
      </c>
      <c r="D136" s="20">
        <f>3900000+1000000</f>
        <v>4900000</v>
      </c>
      <c r="E136" s="20">
        <f>E140-E137-E138</f>
        <v>5530000</v>
      </c>
      <c r="F136" s="20">
        <f>F140-F137-F138</f>
        <v>5590000</v>
      </c>
      <c r="G136" s="145">
        <f>G140-G137-G138</f>
        <v>5790000</v>
      </c>
      <c r="H136" s="23"/>
      <c r="I136" s="23"/>
      <c r="J136" s="28"/>
    </row>
    <row r="137" spans="2:10" ht="15" x14ac:dyDescent="0.25">
      <c r="B137" s="141">
        <v>2085</v>
      </c>
      <c r="C137" s="65" t="s">
        <v>344</v>
      </c>
      <c r="D137" s="20">
        <v>8050000</v>
      </c>
      <c r="E137" s="20">
        <v>8060000</v>
      </c>
      <c r="F137" s="20">
        <v>8070000</v>
      </c>
      <c r="G137" s="145">
        <v>8080000</v>
      </c>
    </row>
    <row r="138" spans="2:10" ht="15.75" thickBot="1" x14ac:dyDescent="0.3">
      <c r="B138" s="141">
        <v>2087</v>
      </c>
      <c r="C138" s="65" t="s">
        <v>345</v>
      </c>
      <c r="D138" s="41">
        <f>250000+800000+200000</f>
        <v>1250000</v>
      </c>
      <c r="E138" s="41">
        <v>1010000</v>
      </c>
      <c r="F138" s="41">
        <v>1040000</v>
      </c>
      <c r="G138" s="142">
        <v>1130000</v>
      </c>
    </row>
    <row r="139" spans="2:10" ht="15.75" thickBot="1" x14ac:dyDescent="0.3">
      <c r="B139" s="61"/>
      <c r="C139" s="148" t="s">
        <v>191</v>
      </c>
      <c r="D139" s="122">
        <f>SUM(D136:D138)</f>
        <v>14200000</v>
      </c>
      <c r="E139" s="123">
        <f>SUM(E136:E138)</f>
        <v>14600000</v>
      </c>
      <c r="F139" s="123">
        <f>SUM(F136:F138)</f>
        <v>14700000</v>
      </c>
      <c r="G139" s="124">
        <f>SUM(G136:G138)</f>
        <v>15000000</v>
      </c>
      <c r="H139" s="39"/>
    </row>
    <row r="140" spans="2:10" ht="13.5" thickBot="1" x14ac:dyDescent="0.25">
      <c r="B140" s="75"/>
      <c r="C140" s="26"/>
      <c r="D140" s="125">
        <v>14200000</v>
      </c>
      <c r="E140" s="125">
        <v>14600000</v>
      </c>
      <c r="F140" s="125">
        <v>14700000</v>
      </c>
      <c r="G140" s="125">
        <v>15000000</v>
      </c>
      <c r="H140" s="23"/>
    </row>
    <row r="141" spans="2:10" ht="13.5" thickBot="1" x14ac:dyDescent="0.25">
      <c r="C141" s="25" t="s">
        <v>256</v>
      </c>
      <c r="D141" s="118">
        <f>D8+D15+D27+D34+D58+D70+D80+D88+D113+D123+D132+D140</f>
        <v>179187500</v>
      </c>
      <c r="E141" s="126">
        <f>E8+E15+E27+E34+E58+E70+E80+E88+E113+E123+E132+E140</f>
        <v>183062500</v>
      </c>
      <c r="F141" s="126">
        <f>F8+F15+F27+F34+F58+F70+F80+F88+F113+F123+F132+F140</f>
        <v>191016500</v>
      </c>
      <c r="G141" s="127">
        <f>G8+G15+G27+G34+G58+G70+G80+G88+G113+G123+G132+G140</f>
        <v>191666500</v>
      </c>
      <c r="I141" s="29"/>
    </row>
    <row r="142" spans="2:10" x14ac:dyDescent="0.2">
      <c r="B142" s="1">
        <v>9999</v>
      </c>
      <c r="C142" s="67" t="s">
        <v>257</v>
      </c>
      <c r="D142" s="80">
        <v>1000000</v>
      </c>
      <c r="E142" s="80">
        <v>1000000</v>
      </c>
      <c r="F142" s="80">
        <v>1000000</v>
      </c>
      <c r="G142" s="80">
        <v>1000000</v>
      </c>
      <c r="I142" s="29"/>
    </row>
    <row r="143" spans="2:10" x14ac:dyDescent="0.2">
      <c r="D143" s="76"/>
      <c r="E143" s="76"/>
      <c r="F143" s="76"/>
      <c r="G143" s="76"/>
      <c r="I143" s="29"/>
    </row>
    <row r="144" spans="2:10" ht="14.25" customHeight="1" x14ac:dyDescent="0.2">
      <c r="B144" s="76"/>
      <c r="C144" s="79"/>
      <c r="D144" s="47"/>
      <c r="E144" s="47"/>
      <c r="F144" s="47"/>
      <c r="G144" s="47"/>
    </row>
    <row r="145" spans="6:6" x14ac:dyDescent="0.2">
      <c r="F145" s="1"/>
    </row>
    <row r="146" spans="6:6" x14ac:dyDescent="0.2">
      <c r="F146" s="1"/>
    </row>
  </sheetData>
  <sheetProtection selectLockedCells="1" selectUnlockedCells="1"/>
  <mergeCells count="15">
    <mergeCell ref="B17:G17"/>
    <mergeCell ref="B1:G1"/>
    <mergeCell ref="B2:G2"/>
    <mergeCell ref="C3:G3"/>
    <mergeCell ref="B5:G5"/>
    <mergeCell ref="B10:G10"/>
    <mergeCell ref="B115:G115"/>
    <mergeCell ref="B126:G126"/>
    <mergeCell ref="B135:G135"/>
    <mergeCell ref="B29:G29"/>
    <mergeCell ref="B36:G36"/>
    <mergeCell ref="B60:G60"/>
    <mergeCell ref="B72:G72"/>
    <mergeCell ref="B82:G82"/>
    <mergeCell ref="B90:G90"/>
  </mergeCells>
  <pageMargins left="0.25" right="0.25" top="0.75" bottom="0.75" header="0.51180555555555551" footer="0.51180555555555551"/>
  <pageSetup paperSize="9" scale="30" firstPageNumber="0" fitToHeight="0" orientation="portrait" horizontalDpi="300" verticalDpi="300" r:id="rId1"/>
  <headerFooter alignWithMargins="0"/>
  <ignoredErrors>
    <ignoredError sqref="B128:B129"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Anexo I - Programas</vt:lpstr>
      <vt:lpstr>Anexo II - Resumo dos Programas</vt:lpstr>
      <vt:lpstr>Anexo III - Progr-Ação-Fun-Subf</vt:lpstr>
      <vt:lpstr>Anexo IV -Projetos e Ativid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fazenda</dc:creator>
  <cp:lastModifiedBy>Solano Celso De Abreu</cp:lastModifiedBy>
  <cp:lastPrinted>2025-07-22T18:45:43Z</cp:lastPrinted>
  <dcterms:created xsi:type="dcterms:W3CDTF">2025-08-01T12:11:30Z</dcterms:created>
  <dcterms:modified xsi:type="dcterms:W3CDTF">2025-09-15T19:13:56Z</dcterms:modified>
</cp:coreProperties>
</file>